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7.xml" ContentType="application/vnd.openxmlformats-officedocument.drawing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xl/drawings/drawing22.xml" ContentType="application/vnd.openxmlformats-officedocument.drawing+xml"/>
  <Override PartName="/xl/charts/chart38.xml" ContentType="application/vnd.openxmlformats-officedocument.drawingml.chart+xml"/>
  <Override PartName="/xl/drawings/drawing2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drawings/drawing20.xml" ContentType="application/vnd.openxmlformats-officedocument.drawing+xml"/>
  <Override PartName="/xl/charts/chart25.xml" ContentType="application/vnd.openxmlformats-officedocument.drawingml.chart+xml"/>
  <Override PartName="/xl/charts/chart34.xml" ContentType="application/vnd.openxmlformats-officedocument.drawingml.char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18.xml" ContentType="application/vnd.openxmlformats-officedocument.drawing+xml"/>
  <Default Extension="emf" ContentType="image/x-emf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charts/chart39.xml" ContentType="application/vnd.openxmlformats-officedocument.drawingml.chart+xml"/>
  <Override PartName="/xl/drawings/drawing2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drawings/drawing23.xml" ContentType="application/vnd.openxmlformats-officedocument.drawingml.chartshapes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drawings/drawing21.xml" ContentType="application/vnd.openxmlformats-officedocument.drawingml.chartshapes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19.xml" ContentType="application/vnd.openxmlformats-officedocument.drawingml.chartshapes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9155" windowHeight="9780" tabRatio="699" firstSheet="22" activeTab="31"/>
  </bookViews>
  <sheets>
    <sheet name="Protocalls" sheetId="1" r:id="rId1"/>
    <sheet name="Shipments" sheetId="2" r:id="rId2"/>
    <sheet name="A" sheetId="3" r:id="rId3"/>
    <sheet name="As" sheetId="21" r:id="rId4"/>
    <sheet name="B" sheetId="4" r:id="rId5"/>
    <sheet name="Bs" sheetId="15" r:id="rId6"/>
    <sheet name="C" sheetId="5" r:id="rId7"/>
    <sheet name="D" sheetId="6" r:id="rId8"/>
    <sheet name="E" sheetId="7" r:id="rId9"/>
    <sheet name="Es" sheetId="16" r:id="rId10"/>
    <sheet name="F" sheetId="8" r:id="rId11"/>
    <sheet name="Fs" sheetId="17" r:id="rId12"/>
    <sheet name="G" sheetId="9" r:id="rId13"/>
    <sheet name="Gs" sheetId="18" r:id="rId14"/>
    <sheet name="H" sheetId="10" r:id="rId15"/>
    <sheet name="I" sheetId="11" r:id="rId16"/>
    <sheet name="J" sheetId="12" r:id="rId17"/>
    <sheet name="K" sheetId="13" r:id="rId18"/>
    <sheet name="Ks" sheetId="20" r:id="rId19"/>
    <sheet name="Trends" sheetId="14" r:id="rId20"/>
    <sheet name="Thickness" sheetId="24" r:id="rId21"/>
    <sheet name="Aggregate Data" sheetId="22" r:id="rId22"/>
    <sheet name="Cuts" sheetId="23" r:id="rId23"/>
    <sheet name="Spacers I" sheetId="25" r:id="rId24"/>
    <sheet name="Spacers II" sheetId="28" r:id="rId25"/>
    <sheet name="Washers" sheetId="27" r:id="rId26"/>
    <sheet name="Ordering I" sheetId="26" r:id="rId27"/>
    <sheet name="Ordering II" sheetId="29" r:id="rId28"/>
    <sheet name="Ordering III" sheetId="30" r:id="rId29"/>
    <sheet name="Odering IV" sheetId="31" r:id="rId30"/>
    <sheet name="Assy" sheetId="32" r:id="rId31"/>
    <sheet name="Bundles" sheetId="33" r:id="rId32"/>
    <sheet name="Bund_A" sheetId="34" r:id="rId33"/>
  </sheets>
  <externalReferences>
    <externalReference r:id="rId34"/>
  </externalReferences>
  <definedNames>
    <definedName name="_xlnm.Print_Area" localSheetId="27">'Ordering II'!$A$1:$K$181</definedName>
  </definedNames>
  <calcPr calcId="125725"/>
</workbook>
</file>

<file path=xl/calcChain.xml><?xml version="1.0" encoding="utf-8"?>
<calcChain xmlns="http://schemas.openxmlformats.org/spreadsheetml/2006/main">
  <c r="W13" i="20"/>
  <c r="W12"/>
  <c r="X13" i="13"/>
  <c r="X14"/>
  <c r="X15"/>
  <c r="X16"/>
  <c r="X12"/>
  <c r="W13" i="12"/>
  <c r="W14"/>
  <c r="W15"/>
  <c r="W16"/>
  <c r="W17"/>
  <c r="W18"/>
  <c r="W19"/>
  <c r="W20"/>
  <c r="W21"/>
  <c r="W22"/>
  <c r="W12"/>
  <c r="W13" i="11"/>
  <c r="W14"/>
  <c r="W15"/>
  <c r="W16"/>
  <c r="W17"/>
  <c r="W18"/>
  <c r="W19"/>
  <c r="W20"/>
  <c r="W21"/>
  <c r="W22"/>
  <c r="W23"/>
  <c r="W24"/>
  <c r="W25"/>
  <c r="W26"/>
  <c r="W27"/>
  <c r="W12"/>
  <c r="W13" i="10"/>
  <c r="W14"/>
  <c r="W15"/>
  <c r="W16"/>
  <c r="W17"/>
  <c r="W18"/>
  <c r="W19"/>
  <c r="W20"/>
  <c r="W21"/>
  <c r="W22"/>
  <c r="W23"/>
  <c r="W24"/>
  <c r="W25"/>
  <c r="W26"/>
  <c r="W27"/>
  <c r="W12"/>
  <c r="W13" i="18"/>
  <c r="W14"/>
  <c r="W15"/>
  <c r="W16"/>
  <c r="W17"/>
  <c r="W18"/>
  <c r="W19"/>
  <c r="W20"/>
  <c r="W21"/>
  <c r="W22"/>
  <c r="W23"/>
  <c r="W24"/>
  <c r="W25"/>
  <c r="W12"/>
  <c r="W13" i="9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12"/>
  <c r="W13" i="8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12"/>
  <c r="W13" i="17"/>
  <c r="W14"/>
  <c r="W15"/>
  <c r="W16"/>
  <c r="W17"/>
  <c r="W18"/>
  <c r="W19"/>
  <c r="W20"/>
  <c r="W21"/>
  <c r="W22"/>
  <c r="W23"/>
  <c r="W24"/>
  <c r="W25"/>
  <c r="W26"/>
  <c r="W27"/>
  <c r="W28"/>
  <c r="W29"/>
  <c r="W30"/>
  <c r="W12"/>
  <c r="X13" i="16"/>
  <c r="X14"/>
  <c r="X15"/>
  <c r="X16"/>
  <c r="X17"/>
  <c r="X18"/>
  <c r="X19"/>
  <c r="X20"/>
  <c r="X21"/>
  <c r="X22"/>
  <c r="X23"/>
  <c r="X24"/>
  <c r="X25"/>
  <c r="X26"/>
  <c r="X27"/>
  <c r="X28"/>
  <c r="X12"/>
  <c r="W13" i="7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12"/>
  <c r="L12" i="2"/>
  <c r="H31" i="34" l="1"/>
  <c r="H32" s="1"/>
  <c r="H33" s="1"/>
  <c r="H34" s="1"/>
  <c r="H35" s="1"/>
  <c r="H36" s="1"/>
  <c r="A31"/>
  <c r="A32" s="1"/>
  <c r="A33" s="1"/>
  <c r="A34" s="1"/>
  <c r="A35" s="1"/>
  <c r="A36" s="1"/>
  <c r="H13"/>
  <c r="H14" s="1"/>
  <c r="H15" s="1"/>
  <c r="H16" s="1"/>
  <c r="H17" s="1"/>
  <c r="H18" s="1"/>
  <c r="A13"/>
  <c r="A14" s="1"/>
  <c r="A15" s="1"/>
  <c r="A16" s="1"/>
  <c r="A17" s="1"/>
  <c r="A18" s="1"/>
  <c r="B59" i="32" l="1"/>
  <c r="C10"/>
  <c r="E10" s="1"/>
  <c r="C11"/>
  <c r="G11" s="1"/>
  <c r="C12"/>
  <c r="G12" s="1"/>
  <c r="C13"/>
  <c r="G13" s="1"/>
  <c r="C14"/>
  <c r="E14" s="1"/>
  <c r="C15"/>
  <c r="G15" s="1"/>
  <c r="C16"/>
  <c r="E16" s="1"/>
  <c r="C17"/>
  <c r="G17" s="1"/>
  <c r="C18"/>
  <c r="E18" s="1"/>
  <c r="C19"/>
  <c r="G19" s="1"/>
  <c r="C20"/>
  <c r="G20" s="1"/>
  <c r="C21"/>
  <c r="E21" s="1"/>
  <c r="C22"/>
  <c r="E22" s="1"/>
  <c r="C23"/>
  <c r="G23" s="1"/>
  <c r="C24"/>
  <c r="E24" s="1"/>
  <c r="C25"/>
  <c r="G25" s="1"/>
  <c r="C26"/>
  <c r="E26" s="1"/>
  <c r="C27"/>
  <c r="G27" s="1"/>
  <c r="C28"/>
  <c r="G28" s="1"/>
  <c r="C29"/>
  <c r="E29" s="1"/>
  <c r="M50" i="31"/>
  <c r="M55"/>
  <c r="M56"/>
  <c r="M57"/>
  <c r="M59"/>
  <c r="M61"/>
  <c r="M63"/>
  <c r="M64"/>
  <c r="M65"/>
  <c r="M66"/>
  <c r="M67"/>
  <c r="M68"/>
  <c r="B78"/>
  <c r="L50" s="1"/>
  <c r="B79"/>
  <c r="L51" s="1"/>
  <c r="B80"/>
  <c r="L52" s="1"/>
  <c r="B81"/>
  <c r="L53" s="1"/>
  <c r="B82"/>
  <c r="L54" s="1"/>
  <c r="B83"/>
  <c r="L55" s="1"/>
  <c r="B84"/>
  <c r="L56" s="1"/>
  <c r="B85"/>
  <c r="L57" s="1"/>
  <c r="B86"/>
  <c r="L58" s="1"/>
  <c r="B87"/>
  <c r="L59" s="1"/>
  <c r="B88"/>
  <c r="L60" s="1"/>
  <c r="B89"/>
  <c r="L61" s="1"/>
  <c r="B90"/>
  <c r="L62" s="1"/>
  <c r="B91"/>
  <c r="L63" s="1"/>
  <c r="B92"/>
  <c r="L64" s="1"/>
  <c r="B93"/>
  <c r="L65" s="1"/>
  <c r="B94"/>
  <c r="L66" s="1"/>
  <c r="B95"/>
  <c r="L67" s="1"/>
  <c r="B96"/>
  <c r="L68" s="1"/>
  <c r="B77"/>
  <c r="L49" s="1"/>
  <c r="F50"/>
  <c r="D78" s="1"/>
  <c r="F51"/>
  <c r="F52"/>
  <c r="D80" s="1"/>
  <c r="F53"/>
  <c r="D81" s="1"/>
  <c r="F54"/>
  <c r="D82" s="1"/>
  <c r="F55"/>
  <c r="D83" s="1"/>
  <c r="F56"/>
  <c r="D84" s="1"/>
  <c r="E84" s="1"/>
  <c r="N56" s="1"/>
  <c r="O56" s="1"/>
  <c r="E24" s="1"/>
  <c r="F57"/>
  <c r="D85" s="1"/>
  <c r="E85" s="1"/>
  <c r="N57" s="1"/>
  <c r="O57" s="1"/>
  <c r="E25" s="1"/>
  <c r="F58"/>
  <c r="D86" s="1"/>
  <c r="F59"/>
  <c r="D87" s="1"/>
  <c r="F60"/>
  <c r="D88" s="1"/>
  <c r="F61"/>
  <c r="D89" s="1"/>
  <c r="F62"/>
  <c r="D90" s="1"/>
  <c r="F63"/>
  <c r="D91" s="1"/>
  <c r="F64"/>
  <c r="D92" s="1"/>
  <c r="E92" s="1"/>
  <c r="N64" s="1"/>
  <c r="O64" s="1"/>
  <c r="E32" s="1"/>
  <c r="F65"/>
  <c r="D93" s="1"/>
  <c r="E93" s="1"/>
  <c r="N65" s="1"/>
  <c r="F66"/>
  <c r="D94" s="1"/>
  <c r="E94" s="1"/>
  <c r="N66" s="1"/>
  <c r="F67"/>
  <c r="D95" s="1"/>
  <c r="E95" s="1"/>
  <c r="N67" s="1"/>
  <c r="O67" s="1"/>
  <c r="E35" s="1"/>
  <c r="F68"/>
  <c r="D96" s="1"/>
  <c r="E96" s="1"/>
  <c r="N68" s="1"/>
  <c r="O68" s="1"/>
  <c r="E36" s="1"/>
  <c r="F49"/>
  <c r="D77" s="1"/>
  <c r="C69"/>
  <c r="J24" i="26"/>
  <c r="J26"/>
  <c r="O66" i="31" l="1"/>
  <c r="E34" s="1"/>
  <c r="G16" i="32"/>
  <c r="E27"/>
  <c r="E19"/>
  <c r="E11"/>
  <c r="E28"/>
  <c r="E20"/>
  <c r="E12"/>
  <c r="E23"/>
  <c r="E15"/>
  <c r="G24"/>
  <c r="G29"/>
  <c r="G21"/>
  <c r="E25"/>
  <c r="E17"/>
  <c r="E13"/>
  <c r="G10"/>
  <c r="G26"/>
  <c r="G22"/>
  <c r="G18"/>
  <c r="G14"/>
  <c r="E78" i="31"/>
  <c r="N50" s="1"/>
  <c r="O50" s="1"/>
  <c r="E18" s="1"/>
  <c r="O65"/>
  <c r="E33" s="1"/>
  <c r="M69"/>
  <c r="E87"/>
  <c r="N59" s="1"/>
  <c r="O59" s="1"/>
  <c r="E27" s="1"/>
  <c r="E89"/>
  <c r="N61" s="1"/>
  <c r="O61" s="1"/>
  <c r="E29" s="1"/>
  <c r="E91"/>
  <c r="N63" s="1"/>
  <c r="O63" s="1"/>
  <c r="E31" s="1"/>
  <c r="F69"/>
  <c r="D79"/>
  <c r="E83" s="1"/>
  <c r="N55" s="1"/>
  <c r="O55" s="1"/>
  <c r="E23" s="1"/>
  <c r="E24" i="30"/>
  <c r="E29"/>
  <c r="E33"/>
  <c r="E37"/>
  <c r="D39"/>
  <c r="D22"/>
  <c r="D23"/>
  <c r="D24"/>
  <c r="D25"/>
  <c r="D26"/>
  <c r="D27"/>
  <c r="D28"/>
  <c r="D29"/>
  <c r="D31"/>
  <c r="D32"/>
  <c r="D33"/>
  <c r="D34"/>
  <c r="D35"/>
  <c r="D36"/>
  <c r="D37"/>
  <c r="D38"/>
  <c r="D20"/>
  <c r="C3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19"/>
  <c r="M63"/>
  <c r="M64"/>
  <c r="M65"/>
  <c r="M66"/>
  <c r="M67"/>
  <c r="M68"/>
  <c r="M62"/>
  <c r="M61"/>
  <c r="M54"/>
  <c r="M55"/>
  <c r="M56"/>
  <c r="M57"/>
  <c r="M58"/>
  <c r="M59"/>
  <c r="M53"/>
  <c r="M52"/>
  <c r="M50"/>
  <c r="L50"/>
  <c r="L51"/>
  <c r="L53"/>
  <c r="L54"/>
  <c r="L55"/>
  <c r="L56"/>
  <c r="L57"/>
  <c r="L58"/>
  <c r="L59"/>
  <c r="L60"/>
  <c r="L61"/>
  <c r="L62"/>
  <c r="L63"/>
  <c r="L64"/>
  <c r="L65"/>
  <c r="L66"/>
  <c r="L67"/>
  <c r="L68"/>
  <c r="L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49"/>
  <c r="B20"/>
  <c r="F11" i="32" s="1"/>
  <c r="B21" i="30"/>
  <c r="F12" i="32" s="1"/>
  <c r="H14" s="1"/>
  <c r="B22" i="30"/>
  <c r="F13" i="32" s="1"/>
  <c r="B23" i="30"/>
  <c r="F14" i="32" s="1"/>
  <c r="B24" i="30"/>
  <c r="F15" i="32" s="1"/>
  <c r="B25" i="30"/>
  <c r="F16" i="32" s="1"/>
  <c r="B26" i="30"/>
  <c r="F17" i="32" s="1"/>
  <c r="B27" i="30"/>
  <c r="F18" i="32" s="1"/>
  <c r="B28" i="30"/>
  <c r="F19" i="32" s="1"/>
  <c r="B29" i="30"/>
  <c r="F20" i="32" s="1"/>
  <c r="B30" i="30"/>
  <c r="F21" i="32" s="1"/>
  <c r="B31" i="30"/>
  <c r="F22" i="32" s="1"/>
  <c r="B32" i="30"/>
  <c r="F23" i="32" s="1"/>
  <c r="B33" i="30"/>
  <c r="F24" i="32" s="1"/>
  <c r="B34" i="30"/>
  <c r="F25" i="32" s="1"/>
  <c r="B35" i="30"/>
  <c r="F26" i="32" s="1"/>
  <c r="B36" i="30"/>
  <c r="F27" i="32" s="1"/>
  <c r="B37" i="30"/>
  <c r="F28" i="32" s="1"/>
  <c r="B38" i="30"/>
  <c r="F29" i="32" s="1"/>
  <c r="B19" i="30"/>
  <c r="F10" i="32" s="1"/>
  <c r="L97" i="30"/>
  <c r="D97"/>
  <c r="M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97" s="1"/>
  <c r="L52" s="1"/>
  <c r="B78"/>
  <c r="B79"/>
  <c r="B80"/>
  <c r="B81"/>
  <c r="B82"/>
  <c r="B83"/>
  <c r="B84"/>
  <c r="B85"/>
  <c r="B86"/>
  <c r="B87"/>
  <c r="B88"/>
  <c r="B89"/>
  <c r="B90"/>
  <c r="B91"/>
  <c r="B92"/>
  <c r="B93"/>
  <c r="E93" s="1"/>
  <c r="B94"/>
  <c r="B95"/>
  <c r="E95" s="1"/>
  <c r="B96"/>
  <c r="B77"/>
  <c r="C97"/>
  <c r="E96"/>
  <c r="E94"/>
  <c r="E92"/>
  <c r="E91"/>
  <c r="E90"/>
  <c r="E89"/>
  <c r="E88"/>
  <c r="E87"/>
  <c r="E86"/>
  <c r="E85"/>
  <c r="E84"/>
  <c r="E83"/>
  <c r="E82"/>
  <c r="E81"/>
  <c r="E80"/>
  <c r="E79"/>
  <c r="E78"/>
  <c r="E77"/>
  <c r="C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69" s="1"/>
  <c r="C133" i="25"/>
  <c r="C132"/>
  <c r="E132" s="1"/>
  <c r="C131"/>
  <c r="D130"/>
  <c r="C130"/>
  <c r="E129"/>
  <c r="C129"/>
  <c r="D129" s="1"/>
  <c r="C128"/>
  <c r="D128" s="1"/>
  <c r="E127"/>
  <c r="C127"/>
  <c r="E125" s="1"/>
  <c r="C126"/>
  <c r="C125"/>
  <c r="D125" s="1"/>
  <c r="C124"/>
  <c r="E123"/>
  <c r="C123"/>
  <c r="C122"/>
  <c r="E121"/>
  <c r="C121"/>
  <c r="D121" s="1"/>
  <c r="C120"/>
  <c r="E119" s="1"/>
  <c r="C119"/>
  <c r="C118"/>
  <c r="C117"/>
  <c r="C116"/>
  <c r="E115"/>
  <c r="C115"/>
  <c r="E114"/>
  <c r="D114"/>
  <c r="C114"/>
  <c r="H15" i="32" l="1"/>
  <c r="H18"/>
  <c r="H12"/>
  <c r="H25"/>
  <c r="H11"/>
  <c r="H27"/>
  <c r="H10"/>
  <c r="H24"/>
  <c r="H28"/>
  <c r="H17"/>
  <c r="H13"/>
  <c r="H23"/>
  <c r="H26"/>
  <c r="H16"/>
  <c r="H29"/>
  <c r="H20"/>
  <c r="H19"/>
  <c r="H22"/>
  <c r="H21"/>
  <c r="E37" i="31"/>
  <c r="F37"/>
  <c r="E97"/>
  <c r="D97"/>
  <c r="N69"/>
  <c r="O69"/>
  <c r="P69" s="1"/>
  <c r="M69" i="30"/>
  <c r="L69"/>
  <c r="E97"/>
  <c r="E39"/>
  <c r="D116" i="25"/>
  <c r="E116"/>
  <c r="D133"/>
  <c r="E133"/>
  <c r="E126"/>
  <c r="E124"/>
  <c r="D126"/>
  <c r="D124"/>
  <c r="D122"/>
  <c r="E118"/>
  <c r="D120"/>
  <c r="D118"/>
  <c r="D117"/>
  <c r="E117"/>
  <c r="E131"/>
  <c r="D132"/>
  <c r="D115"/>
  <c r="D119"/>
  <c r="E122"/>
  <c r="D123"/>
  <c r="D127"/>
  <c r="E130"/>
  <c r="D131"/>
  <c r="E120"/>
  <c r="E128"/>
  <c r="C103" l="1"/>
  <c r="C102"/>
  <c r="E102" s="1"/>
  <c r="C101"/>
  <c r="C100"/>
  <c r="C99"/>
  <c r="C98"/>
  <c r="E96" s="1"/>
  <c r="E97"/>
  <c r="C97"/>
  <c r="C96"/>
  <c r="E95"/>
  <c r="C95"/>
  <c r="C94"/>
  <c r="C93"/>
  <c r="C92"/>
  <c r="C91"/>
  <c r="C90"/>
  <c r="E89" s="1"/>
  <c r="C89"/>
  <c r="E88"/>
  <c r="C88"/>
  <c r="C87"/>
  <c r="C86"/>
  <c r="C85"/>
  <c r="C84"/>
  <c r="E84" s="1"/>
  <c r="E40" i="29"/>
  <c r="E33"/>
  <c r="E34"/>
  <c r="E35"/>
  <c r="E36"/>
  <c r="E37"/>
  <c r="E38"/>
  <c r="E32"/>
  <c r="E30"/>
  <c r="E22"/>
  <c r="E23"/>
  <c r="E24"/>
  <c r="E25"/>
  <c r="E26"/>
  <c r="E27"/>
  <c r="E28"/>
  <c r="E21"/>
  <c r="C180"/>
  <c r="C179"/>
  <c r="C178"/>
  <c r="C177"/>
  <c r="C176"/>
  <c r="C175"/>
  <c r="C174"/>
  <c r="C33" s="1"/>
  <c r="C173"/>
  <c r="C172"/>
  <c r="C171"/>
  <c r="C170"/>
  <c r="C169"/>
  <c r="C168"/>
  <c r="C167"/>
  <c r="C166"/>
  <c r="C165"/>
  <c r="C164"/>
  <c r="C163"/>
  <c r="C162"/>
  <c r="C161"/>
  <c r="D34"/>
  <c r="C21"/>
  <c r="C22"/>
  <c r="C23"/>
  <c r="C24"/>
  <c r="C25"/>
  <c r="C26"/>
  <c r="C27"/>
  <c r="C28"/>
  <c r="C29"/>
  <c r="C30"/>
  <c r="C31"/>
  <c r="C32"/>
  <c r="C34"/>
  <c r="C35"/>
  <c r="C36"/>
  <c r="C37"/>
  <c r="C38"/>
  <c r="C39"/>
  <c r="C20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33"/>
  <c r="C70"/>
  <c r="B95"/>
  <c r="B96"/>
  <c r="E96" s="1"/>
  <c r="D180" s="1"/>
  <c r="D39" s="1"/>
  <c r="B78"/>
  <c r="E78" s="1"/>
  <c r="B79"/>
  <c r="B80"/>
  <c r="E80" s="1"/>
  <c r="B81"/>
  <c r="E81" s="1"/>
  <c r="D165" s="1"/>
  <c r="D24" s="1"/>
  <c r="B82"/>
  <c r="B83"/>
  <c r="B84"/>
  <c r="E84" s="1"/>
  <c r="B85"/>
  <c r="E85" s="1"/>
  <c r="B86"/>
  <c r="B87"/>
  <c r="B88"/>
  <c r="E88" s="1"/>
  <c r="B89"/>
  <c r="E89" s="1"/>
  <c r="B90"/>
  <c r="B91"/>
  <c r="B92"/>
  <c r="E92" s="1"/>
  <c r="B93"/>
  <c r="E93" s="1"/>
  <c r="B94"/>
  <c r="B77"/>
  <c r="E77" s="1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50"/>
  <c r="B162"/>
  <c r="B21" s="1"/>
  <c r="B163"/>
  <c r="B22" s="1"/>
  <c r="B164"/>
  <c r="B23" s="1"/>
  <c r="B165"/>
  <c r="B24" s="1"/>
  <c r="B166"/>
  <c r="B25" s="1"/>
  <c r="B167"/>
  <c r="B26" s="1"/>
  <c r="B168"/>
  <c r="B27" s="1"/>
  <c r="B169"/>
  <c r="B28" s="1"/>
  <c r="B170"/>
  <c r="B29" s="1"/>
  <c r="B171"/>
  <c r="B30" s="1"/>
  <c r="B172"/>
  <c r="B31" s="1"/>
  <c r="B173"/>
  <c r="B32" s="1"/>
  <c r="B174"/>
  <c r="B33" s="1"/>
  <c r="B175"/>
  <c r="B34" s="1"/>
  <c r="B176"/>
  <c r="B35" s="1"/>
  <c r="B177"/>
  <c r="B36" s="1"/>
  <c r="B178"/>
  <c r="B37" s="1"/>
  <c r="B179"/>
  <c r="B38" s="1"/>
  <c r="B180"/>
  <c r="B39" s="1"/>
  <c r="B161"/>
  <c r="B20" s="1"/>
  <c r="C12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05"/>
  <c r="B121"/>
  <c r="B122"/>
  <c r="B120"/>
  <c r="B116"/>
  <c r="B117"/>
  <c r="B118"/>
  <c r="B115"/>
  <c r="B112"/>
  <c r="B111"/>
  <c r="B110"/>
  <c r="B108"/>
  <c r="B106"/>
  <c r="B105"/>
  <c r="C97"/>
  <c r="E79"/>
  <c r="D163" s="1"/>
  <c r="D22" s="1"/>
  <c r="E82"/>
  <c r="E83"/>
  <c r="E86"/>
  <c r="E87"/>
  <c r="E90"/>
  <c r="E91"/>
  <c r="D175" s="1"/>
  <c r="E94"/>
  <c r="E95"/>
  <c r="D179" s="1"/>
  <c r="D38" s="1"/>
  <c r="B334" i="25"/>
  <c r="D334" s="1"/>
  <c r="B335"/>
  <c r="D335" s="1"/>
  <c r="B336"/>
  <c r="C336" s="1"/>
  <c r="B337"/>
  <c r="D337" s="1"/>
  <c r="B338"/>
  <c r="D338" s="1"/>
  <c r="E338" s="1"/>
  <c r="B339"/>
  <c r="C339" s="1"/>
  <c r="B340"/>
  <c r="C340" s="1"/>
  <c r="B341"/>
  <c r="D341" s="1"/>
  <c r="B342"/>
  <c r="D342" s="1"/>
  <c r="E342" s="1"/>
  <c r="B343"/>
  <c r="D343" s="1"/>
  <c r="B344"/>
  <c r="D344" s="1"/>
  <c r="B345"/>
  <c r="D345" s="1"/>
  <c r="B346"/>
  <c r="D346" s="1"/>
  <c r="E346" s="1"/>
  <c r="B347"/>
  <c r="C347" s="1"/>
  <c r="B348"/>
  <c r="C348" s="1"/>
  <c r="B349"/>
  <c r="C349" s="1"/>
  <c r="B350"/>
  <c r="D350" s="1"/>
  <c r="E350" s="1"/>
  <c r="B351"/>
  <c r="D351" s="1"/>
  <c r="B352"/>
  <c r="C352" s="1"/>
  <c r="B353"/>
  <c r="C353" s="1"/>
  <c r="B333"/>
  <c r="D333" s="1"/>
  <c r="C350"/>
  <c r="C342"/>
  <c r="C338"/>
  <c r="C337"/>
  <c r="P262"/>
  <c r="O262"/>
  <c r="N262"/>
  <c r="J252"/>
  <c r="J253" s="1"/>
  <c r="J254" s="1"/>
  <c r="J255" s="1"/>
  <c r="J256" s="1"/>
  <c r="J257" s="1"/>
  <c r="J258" s="1"/>
  <c r="J259" s="1"/>
  <c r="J260" s="1"/>
  <c r="J261" s="1"/>
  <c r="J262" s="1"/>
  <c r="J263" s="1"/>
  <c r="J264" s="1"/>
  <c r="J265" s="1"/>
  <c r="J266" s="1"/>
  <c r="J267" s="1"/>
  <c r="J268" s="1"/>
  <c r="J269" s="1"/>
  <c r="J270" s="1"/>
  <c r="J271" s="1"/>
  <c r="B308"/>
  <c r="D308" s="1"/>
  <c r="E308" s="1"/>
  <c r="B309"/>
  <c r="D309" s="1"/>
  <c r="E309" s="1"/>
  <c r="B310"/>
  <c r="D310" s="1"/>
  <c r="E310" s="1"/>
  <c r="B311"/>
  <c r="C311" s="1"/>
  <c r="B312"/>
  <c r="C312" s="1"/>
  <c r="B313"/>
  <c r="D313" s="1"/>
  <c r="E313" s="1"/>
  <c r="B314"/>
  <c r="C314" s="1"/>
  <c r="B315"/>
  <c r="C315" s="1"/>
  <c r="B316"/>
  <c r="D316" s="1"/>
  <c r="E316" s="1"/>
  <c r="B317"/>
  <c r="D317" s="1"/>
  <c r="E317" s="1"/>
  <c r="B298"/>
  <c r="D298" s="1"/>
  <c r="E298" s="1"/>
  <c r="B299"/>
  <c r="C299" s="1"/>
  <c r="B300"/>
  <c r="D300" s="1"/>
  <c r="E300" s="1"/>
  <c r="B301"/>
  <c r="D301" s="1"/>
  <c r="E301" s="1"/>
  <c r="B302"/>
  <c r="C302" s="1"/>
  <c r="B303"/>
  <c r="C303" s="1"/>
  <c r="B304"/>
  <c r="D304" s="1"/>
  <c r="E304" s="1"/>
  <c r="B305"/>
  <c r="D305" s="1"/>
  <c r="E305" s="1"/>
  <c r="B306"/>
  <c r="D306" s="1"/>
  <c r="E306" s="1"/>
  <c r="B307"/>
  <c r="C307" s="1"/>
  <c r="B297"/>
  <c r="D297" s="1"/>
  <c r="E297" s="1"/>
  <c r="J229"/>
  <c r="J231"/>
  <c r="J232"/>
  <c r="J233"/>
  <c r="J230"/>
  <c r="J226"/>
  <c r="J227"/>
  <c r="J228"/>
  <c r="J225"/>
  <c r="J224"/>
  <c r="J223"/>
  <c r="J222"/>
  <c r="J221"/>
  <c r="J219"/>
  <c r="J220"/>
  <c r="J218"/>
  <c r="J217"/>
  <c r="J216"/>
  <c r="C201"/>
  <c r="C270" s="1"/>
  <c r="C200"/>
  <c r="C199"/>
  <c r="C198"/>
  <c r="C267" s="1"/>
  <c r="C197"/>
  <c r="C266" s="1"/>
  <c r="C196"/>
  <c r="C195"/>
  <c r="C264" s="1"/>
  <c r="C194"/>
  <c r="C263" s="1"/>
  <c r="C193"/>
  <c r="E191" s="1"/>
  <c r="C192"/>
  <c r="C191"/>
  <c r="E190" s="1"/>
  <c r="C190"/>
  <c r="C259" s="1"/>
  <c r="C189"/>
  <c r="C258" s="1"/>
  <c r="C188"/>
  <c r="C187"/>
  <c r="C256" s="1"/>
  <c r="C186"/>
  <c r="C255" s="1"/>
  <c r="C185"/>
  <c r="C254" s="1"/>
  <c r="C184"/>
  <c r="C183"/>
  <c r="C182"/>
  <c r="C251" s="1"/>
  <c r="D299"/>
  <c r="E299" s="1"/>
  <c r="D303"/>
  <c r="E303" s="1"/>
  <c r="D312"/>
  <c r="E312" s="1"/>
  <c r="D314"/>
  <c r="E314" s="1"/>
  <c r="C313"/>
  <c r="C308"/>
  <c r="C297"/>
  <c r="C215"/>
  <c r="D250" s="1"/>
  <c r="C217"/>
  <c r="D252" s="1"/>
  <c r="C218"/>
  <c r="C219"/>
  <c r="D254" s="1"/>
  <c r="C220"/>
  <c r="E218" s="1"/>
  <c r="C221"/>
  <c r="E219" s="1"/>
  <c r="C222"/>
  <c r="E220" s="1"/>
  <c r="C223"/>
  <c r="E222" s="1"/>
  <c r="C224"/>
  <c r="D259" s="1"/>
  <c r="C225"/>
  <c r="E224" s="1"/>
  <c r="C226"/>
  <c r="D261" s="1"/>
  <c r="C227"/>
  <c r="E225" s="1"/>
  <c r="C228"/>
  <c r="E226" s="1"/>
  <c r="C229"/>
  <c r="D264" s="1"/>
  <c r="C230"/>
  <c r="E228" s="1"/>
  <c r="C231"/>
  <c r="D266" s="1"/>
  <c r="C232"/>
  <c r="D267" s="1"/>
  <c r="C233"/>
  <c r="D268" s="1"/>
  <c r="C234"/>
  <c r="D269" s="1"/>
  <c r="C235"/>
  <c r="D270" s="1"/>
  <c r="C216"/>
  <c r="D251" s="1"/>
  <c r="C152"/>
  <c r="B252" s="1"/>
  <c r="C153"/>
  <c r="B253" s="1"/>
  <c r="C154"/>
  <c r="B254" s="1"/>
  <c r="C155"/>
  <c r="B255" s="1"/>
  <c r="C156"/>
  <c r="B256" s="1"/>
  <c r="C157"/>
  <c r="B257" s="1"/>
  <c r="C158"/>
  <c r="B258" s="1"/>
  <c r="C159"/>
  <c r="B259" s="1"/>
  <c r="C160"/>
  <c r="B260" s="1"/>
  <c r="C161"/>
  <c r="B261" s="1"/>
  <c r="C162"/>
  <c r="B262" s="1"/>
  <c r="C163"/>
  <c r="B263" s="1"/>
  <c r="C164"/>
  <c r="B264" s="1"/>
  <c r="C165"/>
  <c r="B265" s="1"/>
  <c r="C166"/>
  <c r="B266" s="1"/>
  <c r="C167"/>
  <c r="B267" s="1"/>
  <c r="C168"/>
  <c r="B268" s="1"/>
  <c r="C169"/>
  <c r="B269" s="1"/>
  <c r="C170"/>
  <c r="E170" s="1"/>
  <c r="C151"/>
  <c r="B251" s="1"/>
  <c r="E232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44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11"/>
  <c r="I572"/>
  <c r="G572"/>
  <c r="I571"/>
  <c r="G571"/>
  <c r="F571"/>
  <c r="J442"/>
  <c r="K442"/>
  <c r="K441"/>
  <c r="J441"/>
  <c r="A590"/>
  <c r="A591"/>
  <c r="A592"/>
  <c r="A593"/>
  <c r="A574"/>
  <c r="A575"/>
  <c r="A576"/>
  <c r="A577"/>
  <c r="A578"/>
  <c r="A579"/>
  <c r="A580"/>
  <c r="A581"/>
  <c r="A582"/>
  <c r="A583"/>
  <c r="A584"/>
  <c r="A585"/>
  <c r="A586"/>
  <c r="A587"/>
  <c r="A588"/>
  <c r="A589"/>
  <c r="I538"/>
  <c r="I537"/>
  <c r="F572" s="1"/>
  <c r="G538"/>
  <c r="G537"/>
  <c r="F538"/>
  <c r="F537"/>
  <c r="D403"/>
  <c r="C559" s="1"/>
  <c r="D402"/>
  <c r="C558" s="1"/>
  <c r="D401"/>
  <c r="M400" s="1"/>
  <c r="D400"/>
  <c r="M399" s="1"/>
  <c r="D399"/>
  <c r="M398" s="1"/>
  <c r="D398"/>
  <c r="M396" s="1"/>
  <c r="D397"/>
  <c r="M395" s="1"/>
  <c r="D396"/>
  <c r="M394" s="1"/>
  <c r="D395"/>
  <c r="M393" s="1"/>
  <c r="D394"/>
  <c r="C550" s="1"/>
  <c r="D393"/>
  <c r="C549" s="1"/>
  <c r="D392"/>
  <c r="M391" s="1"/>
  <c r="D391"/>
  <c r="M390" s="1"/>
  <c r="D390"/>
  <c r="M388" s="1"/>
  <c r="D389"/>
  <c r="M387" s="1"/>
  <c r="D388"/>
  <c r="M386" s="1"/>
  <c r="D387"/>
  <c r="M385" s="1"/>
  <c r="D386"/>
  <c r="D385"/>
  <c r="M403" s="1"/>
  <c r="D384"/>
  <c r="M402" s="1"/>
  <c r="B369"/>
  <c r="E385" s="1"/>
  <c r="E94" l="1"/>
  <c r="E93"/>
  <c r="E87"/>
  <c r="E86"/>
  <c r="D90"/>
  <c r="E91"/>
  <c r="D98"/>
  <c r="E99"/>
  <c r="D100"/>
  <c r="E85"/>
  <c r="D92"/>
  <c r="D86"/>
  <c r="D88"/>
  <c r="D94"/>
  <c r="D96"/>
  <c r="E101"/>
  <c r="D84"/>
  <c r="D102"/>
  <c r="E103"/>
  <c r="D85"/>
  <c r="D87"/>
  <c r="D89"/>
  <c r="E90"/>
  <c r="D91"/>
  <c r="E92"/>
  <c r="D93"/>
  <c r="D95"/>
  <c r="D97"/>
  <c r="E98"/>
  <c r="D99"/>
  <c r="E100"/>
  <c r="D101"/>
  <c r="D103"/>
  <c r="D167" i="29"/>
  <c r="D26" s="1"/>
  <c r="E153"/>
  <c r="E70"/>
  <c r="C305" i="25"/>
  <c r="D347"/>
  <c r="E347" s="1"/>
  <c r="C317"/>
  <c r="C333"/>
  <c r="C346"/>
  <c r="D339"/>
  <c r="D176" i="29"/>
  <c r="D35" s="1"/>
  <c r="D164"/>
  <c r="D23" s="1"/>
  <c r="D171"/>
  <c r="D30" s="1"/>
  <c r="E125"/>
  <c r="D168"/>
  <c r="D27" s="1"/>
  <c r="D177"/>
  <c r="D36" s="1"/>
  <c r="D173"/>
  <c r="D32" s="1"/>
  <c r="E97"/>
  <c r="D178"/>
  <c r="D37" s="1"/>
  <c r="D169"/>
  <c r="D28" s="1"/>
  <c r="D166"/>
  <c r="D25" s="1"/>
  <c r="D174"/>
  <c r="D33" s="1"/>
  <c r="C306" i="25"/>
  <c r="D315"/>
  <c r="E315" s="1"/>
  <c r="D302"/>
  <c r="E302" s="1"/>
  <c r="C334"/>
  <c r="C344"/>
  <c r="E351"/>
  <c r="E343"/>
  <c r="E335"/>
  <c r="D352"/>
  <c r="D348"/>
  <c r="E348" s="1"/>
  <c r="D340"/>
  <c r="E340" s="1"/>
  <c r="D336"/>
  <c r="E336" s="1"/>
  <c r="E344"/>
  <c r="D353"/>
  <c r="E353" s="1"/>
  <c r="D349"/>
  <c r="E349" s="1"/>
  <c r="E345"/>
  <c r="E341"/>
  <c r="E337"/>
  <c r="E230"/>
  <c r="C298"/>
  <c r="C310"/>
  <c r="C335"/>
  <c r="C345"/>
  <c r="E339"/>
  <c r="C343"/>
  <c r="C301"/>
  <c r="C309"/>
  <c r="C316"/>
  <c r="D307"/>
  <c r="E307" s="1"/>
  <c r="C341"/>
  <c r="C351"/>
  <c r="E352"/>
  <c r="E333"/>
  <c r="E334"/>
  <c r="E185"/>
  <c r="D183"/>
  <c r="D192"/>
  <c r="D196"/>
  <c r="D311"/>
  <c r="E311" s="1"/>
  <c r="D187"/>
  <c r="E193"/>
  <c r="D195"/>
  <c r="E189"/>
  <c r="E192"/>
  <c r="E194"/>
  <c r="E182"/>
  <c r="D184"/>
  <c r="D189"/>
  <c r="E195"/>
  <c r="E197"/>
  <c r="D258"/>
  <c r="C252"/>
  <c r="E183"/>
  <c r="D197"/>
  <c r="D262"/>
  <c r="E235"/>
  <c r="D188"/>
  <c r="D198"/>
  <c r="E234"/>
  <c r="C300"/>
  <c r="C304"/>
  <c r="E231"/>
  <c r="E216"/>
  <c r="D201"/>
  <c r="E201" s="1"/>
  <c r="E184"/>
  <c r="E186"/>
  <c r="E188"/>
  <c r="E196"/>
  <c r="D199"/>
  <c r="D265"/>
  <c r="D257"/>
  <c r="D253"/>
  <c r="C262"/>
  <c r="B270"/>
  <c r="E169"/>
  <c r="E151"/>
  <c r="E198"/>
  <c r="D263"/>
  <c r="D255"/>
  <c r="C268"/>
  <c r="C260"/>
  <c r="E217"/>
  <c r="D200"/>
  <c r="E200" s="1"/>
  <c r="D260"/>
  <c r="D256"/>
  <c r="C269"/>
  <c r="C265"/>
  <c r="C261"/>
  <c r="C257"/>
  <c r="C253"/>
  <c r="D190"/>
  <c r="D191"/>
  <c r="D182"/>
  <c r="D186"/>
  <c r="D194"/>
  <c r="D185"/>
  <c r="D193"/>
  <c r="E187"/>
  <c r="E199"/>
  <c r="E154"/>
  <c r="E157"/>
  <c r="E159"/>
  <c r="E160"/>
  <c r="D222"/>
  <c r="E167"/>
  <c r="D235"/>
  <c r="D233"/>
  <c r="D218"/>
  <c r="D227"/>
  <c r="E153"/>
  <c r="E158"/>
  <c r="E161"/>
  <c r="E166"/>
  <c r="E163"/>
  <c r="E168"/>
  <c r="E227"/>
  <c r="D232"/>
  <c r="D229"/>
  <c r="D219"/>
  <c r="D234"/>
  <c r="E221"/>
  <c r="E229"/>
  <c r="D220"/>
  <c r="E223"/>
  <c r="D226"/>
  <c r="D224"/>
  <c r="E233"/>
  <c r="D217"/>
  <c r="D228"/>
  <c r="D230"/>
  <c r="D216"/>
  <c r="D221"/>
  <c r="D223"/>
  <c r="D225"/>
  <c r="D231"/>
  <c r="E155"/>
  <c r="E156"/>
  <c r="E162"/>
  <c r="D164"/>
  <c r="E152"/>
  <c r="D154"/>
  <c r="E164"/>
  <c r="E165"/>
  <c r="D162"/>
  <c r="D151"/>
  <c r="D170"/>
  <c r="D152"/>
  <c r="D153"/>
  <c r="D155"/>
  <c r="D157"/>
  <c r="D159"/>
  <c r="D161"/>
  <c r="D163"/>
  <c r="D165"/>
  <c r="D167"/>
  <c r="D169"/>
  <c r="D156"/>
  <c r="D158"/>
  <c r="D160"/>
  <c r="D166"/>
  <c r="D168"/>
  <c r="E473"/>
  <c r="F473" s="1"/>
  <c r="E475"/>
  <c r="F475" s="1"/>
  <c r="E477"/>
  <c r="F477" s="1"/>
  <c r="E479"/>
  <c r="F479" s="1"/>
  <c r="E481"/>
  <c r="F481" s="1"/>
  <c r="E483"/>
  <c r="F483" s="1"/>
  <c r="E485"/>
  <c r="F485" s="1"/>
  <c r="E487"/>
  <c r="F487" s="1"/>
  <c r="E489"/>
  <c r="F489" s="1"/>
  <c r="E471"/>
  <c r="F471" s="1"/>
  <c r="E474"/>
  <c r="F474" s="1"/>
  <c r="E476"/>
  <c r="F476" s="1"/>
  <c r="E478"/>
  <c r="F478" s="1"/>
  <c r="E480"/>
  <c r="F480" s="1"/>
  <c r="E482"/>
  <c r="F482" s="1"/>
  <c r="E484"/>
  <c r="F484" s="1"/>
  <c r="E486"/>
  <c r="F486" s="1"/>
  <c r="E488"/>
  <c r="F488" s="1"/>
  <c r="E490"/>
  <c r="F490" s="1"/>
  <c r="E472"/>
  <c r="F472" s="1"/>
  <c r="E448"/>
  <c r="F448" s="1"/>
  <c r="E455"/>
  <c r="F455" s="1"/>
  <c r="E460"/>
  <c r="F460" s="1"/>
  <c r="E445"/>
  <c r="F445" s="1"/>
  <c r="E447"/>
  <c r="F447" s="1"/>
  <c r="E451"/>
  <c r="F451" s="1"/>
  <c r="E454"/>
  <c r="F454" s="1"/>
  <c r="E463"/>
  <c r="F463" s="1"/>
  <c r="E444"/>
  <c r="F444" s="1"/>
  <c r="E446"/>
  <c r="F446" s="1"/>
  <c r="E450"/>
  <c r="F450" s="1"/>
  <c r="E453"/>
  <c r="F453" s="1"/>
  <c r="E457"/>
  <c r="F457" s="1"/>
  <c r="E459"/>
  <c r="F459" s="1"/>
  <c r="E462"/>
  <c r="F462" s="1"/>
  <c r="E449"/>
  <c r="F449" s="1"/>
  <c r="E452"/>
  <c r="F452" s="1"/>
  <c r="E456"/>
  <c r="F456" s="1"/>
  <c r="E458"/>
  <c r="F458" s="1"/>
  <c r="E461"/>
  <c r="F461" s="1"/>
  <c r="D411"/>
  <c r="D428"/>
  <c r="F427" s="1"/>
  <c r="D424"/>
  <c r="F422" s="1"/>
  <c r="D420"/>
  <c r="F419" s="1"/>
  <c r="D416"/>
  <c r="F414" s="1"/>
  <c r="D412"/>
  <c r="D427"/>
  <c r="D423"/>
  <c r="D419"/>
  <c r="D415"/>
  <c r="F413" s="1"/>
  <c r="D430"/>
  <c r="D426"/>
  <c r="D422"/>
  <c r="D418"/>
  <c r="D414"/>
  <c r="D429"/>
  <c r="D425"/>
  <c r="F423" s="1"/>
  <c r="D421"/>
  <c r="D417"/>
  <c r="D413"/>
  <c r="M384"/>
  <c r="M401"/>
  <c r="M397"/>
  <c r="M389"/>
  <c r="M392"/>
  <c r="C555"/>
  <c r="C547"/>
  <c r="C551"/>
  <c r="C554"/>
  <c r="C546"/>
  <c r="C542"/>
  <c r="C543"/>
  <c r="C540"/>
  <c r="C556"/>
  <c r="C552"/>
  <c r="C548"/>
  <c r="C544"/>
  <c r="C557"/>
  <c r="C553"/>
  <c r="C545"/>
  <c r="C541"/>
  <c r="B370"/>
  <c r="E384"/>
  <c r="E400"/>
  <c r="E395"/>
  <c r="E402"/>
  <c r="E396"/>
  <c r="E391"/>
  <c r="E386"/>
  <c r="E403"/>
  <c r="E398"/>
  <c r="E392"/>
  <c r="E387"/>
  <c r="E399"/>
  <c r="E394"/>
  <c r="E388"/>
  <c r="E390"/>
  <c r="E401"/>
  <c r="E397"/>
  <c r="E393"/>
  <c r="E389"/>
  <c r="D162" i="29" l="1"/>
  <c r="C181"/>
  <c r="C40" s="1"/>
  <c r="E421" i="25"/>
  <c r="E430"/>
  <c r="F430" s="1"/>
  <c r="E422"/>
  <c r="F420"/>
  <c r="E418"/>
  <c r="F417"/>
  <c r="E427"/>
  <c r="F426"/>
  <c r="E417"/>
  <c r="F416"/>
  <c r="F415"/>
  <c r="E414"/>
  <c r="F412"/>
  <c r="E423"/>
  <c r="F421"/>
  <c r="E413"/>
  <c r="F411"/>
  <c r="E429"/>
  <c r="F429" s="1"/>
  <c r="F428"/>
  <c r="E426"/>
  <c r="F425"/>
  <c r="F424"/>
  <c r="E419"/>
  <c r="F418"/>
  <c r="E425"/>
  <c r="E415"/>
  <c r="E424"/>
  <c r="E411"/>
  <c r="E420"/>
  <c r="E416"/>
  <c r="E412"/>
  <c r="E428"/>
  <c r="J53" i="26"/>
  <c r="B29" i="27"/>
  <c r="H7" i="13"/>
  <c r="G30" i="27"/>
  <c r="G29"/>
  <c r="G28"/>
  <c r="G27"/>
  <c r="G26"/>
  <c r="G25"/>
  <c r="G24"/>
  <c r="G23"/>
  <c r="G22"/>
  <c r="G21"/>
  <c r="G20"/>
  <c r="G19"/>
  <c r="G18"/>
  <c r="G17"/>
  <c r="G16"/>
  <c r="G14"/>
  <c r="G15"/>
  <c r="E30"/>
  <c r="E29"/>
  <c r="E28"/>
  <c r="E27"/>
  <c r="E26"/>
  <c r="E25"/>
  <c r="E24"/>
  <c r="E23"/>
  <c r="E22"/>
  <c r="E21"/>
  <c r="E20"/>
  <c r="E19"/>
  <c r="E18"/>
  <c r="E17"/>
  <c r="E16"/>
  <c r="E15"/>
  <c r="E14"/>
  <c r="B30"/>
  <c r="B28"/>
  <c r="B27"/>
  <c r="B26"/>
  <c r="B25"/>
  <c r="B24"/>
  <c r="B23"/>
  <c r="B22"/>
  <c r="B21"/>
  <c r="B20"/>
  <c r="B19"/>
  <c r="B18"/>
  <c r="B17"/>
  <c r="B16"/>
  <c r="B15"/>
  <c r="B14"/>
  <c r="J6" i="8"/>
  <c r="I6"/>
  <c r="H6"/>
  <c r="J25" i="26"/>
  <c r="K30"/>
  <c r="J27"/>
  <c r="J28"/>
  <c r="J29"/>
  <c r="J30"/>
  <c r="J31"/>
  <c r="K31" s="1"/>
  <c r="J32"/>
  <c r="K32" s="1"/>
  <c r="J33"/>
  <c r="J34"/>
  <c r="K34" s="1"/>
  <c r="J35"/>
  <c r="K36" s="1"/>
  <c r="J36"/>
  <c r="J37"/>
  <c r="K38" s="1"/>
  <c r="J38"/>
  <c r="J39"/>
  <c r="J40"/>
  <c r="J41"/>
  <c r="J42"/>
  <c r="J43"/>
  <c r="K25"/>
  <c r="B8" i="27"/>
  <c r="D181" i="29" l="1"/>
  <c r="D40" s="1"/>
  <c r="D21"/>
  <c r="C22" i="27"/>
  <c r="D22" s="1"/>
  <c r="D28" i="31" l="1"/>
  <c r="I35" i="26"/>
  <c r="F22" i="27"/>
  <c r="H22"/>
  <c r="I22" s="1"/>
  <c r="C88" i="31" l="1"/>
  <c r="D21" i="32"/>
  <c r="C30" i="27"/>
  <c r="D30" s="1"/>
  <c r="C29"/>
  <c r="D29" s="1"/>
  <c r="C28"/>
  <c r="D28" s="1"/>
  <c r="C27"/>
  <c r="D27" s="1"/>
  <c r="C26"/>
  <c r="D26" s="1"/>
  <c r="C25"/>
  <c r="D25" s="1"/>
  <c r="C24"/>
  <c r="D24" s="1"/>
  <c r="C23"/>
  <c r="D23" s="1"/>
  <c r="C21"/>
  <c r="D21" s="1"/>
  <c r="C20"/>
  <c r="D20" s="1"/>
  <c r="C19"/>
  <c r="D19" s="1"/>
  <c r="C18"/>
  <c r="D18" s="1"/>
  <c r="C17"/>
  <c r="D17" s="1"/>
  <c r="C16"/>
  <c r="D16" s="1"/>
  <c r="C15"/>
  <c r="D15" s="1"/>
  <c r="C14"/>
  <c r="D14" s="1"/>
  <c r="D36" i="31" l="1"/>
  <c r="I43" i="26"/>
  <c r="D22" i="31"/>
  <c r="D20"/>
  <c r="I29" i="26"/>
  <c r="I27"/>
  <c r="D26" i="31"/>
  <c r="I33" i="26"/>
  <c r="I42"/>
  <c r="D35" i="31"/>
  <c r="D32"/>
  <c r="I39" i="26"/>
  <c r="D18" i="31"/>
  <c r="I25" i="26"/>
  <c r="D34" i="31"/>
  <c r="I41" i="26"/>
  <c r="D27" i="31"/>
  <c r="I34" i="26"/>
  <c r="D23" i="31"/>
  <c r="D21"/>
  <c r="D19"/>
  <c r="I28" i="26"/>
  <c r="I30"/>
  <c r="I26"/>
  <c r="D31" i="31"/>
  <c r="I38" i="26"/>
  <c r="D25" i="31"/>
  <c r="I32" i="26"/>
  <c r="D30" i="31"/>
  <c r="I37" i="26"/>
  <c r="D17" i="31"/>
  <c r="I24" i="26"/>
  <c r="D24" i="31"/>
  <c r="I31" i="26"/>
  <c r="D29" i="31"/>
  <c r="I36" i="26"/>
  <c r="D33" i="31"/>
  <c r="I40" i="26"/>
  <c r="F16" i="27"/>
  <c r="H16"/>
  <c r="I16" s="1"/>
  <c r="H18"/>
  <c r="I18" s="1"/>
  <c r="F18"/>
  <c r="H15"/>
  <c r="I15" s="1"/>
  <c r="F15"/>
  <c r="F17"/>
  <c r="H17"/>
  <c r="I17" s="1"/>
  <c r="H19"/>
  <c r="I19" s="1"/>
  <c r="F19"/>
  <c r="F21"/>
  <c r="H21"/>
  <c r="I21" s="1"/>
  <c r="F24"/>
  <c r="H24"/>
  <c r="I24" s="1"/>
  <c r="H26"/>
  <c r="I26" s="1"/>
  <c r="F26"/>
  <c r="F28"/>
  <c r="H28"/>
  <c r="I28" s="1"/>
  <c r="H30"/>
  <c r="I30" s="1"/>
  <c r="F30"/>
  <c r="H14"/>
  <c r="I14" s="1"/>
  <c r="F14"/>
  <c r="F20"/>
  <c r="H20"/>
  <c r="I20" s="1"/>
  <c r="F23"/>
  <c r="H23"/>
  <c r="I23" s="1"/>
  <c r="F25"/>
  <c r="H25"/>
  <c r="I25" s="1"/>
  <c r="F27"/>
  <c r="H27"/>
  <c r="I27" s="1"/>
  <c r="F29"/>
  <c r="H29"/>
  <c r="I29" s="1"/>
  <c r="A25" i="26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24"/>
  <c r="J54"/>
  <c r="B25" s="1"/>
  <c r="J55"/>
  <c r="B26" s="1"/>
  <c r="J56"/>
  <c r="B27" s="1"/>
  <c r="J57"/>
  <c r="B28" s="1"/>
  <c r="J58"/>
  <c r="B29" s="1"/>
  <c r="J59"/>
  <c r="B30" s="1"/>
  <c r="J60"/>
  <c r="B31" s="1"/>
  <c r="J61"/>
  <c r="B32" s="1"/>
  <c r="J62"/>
  <c r="B33" s="1"/>
  <c r="J63"/>
  <c r="B34" s="1"/>
  <c r="J64"/>
  <c r="B35" s="1"/>
  <c r="J65"/>
  <c r="B36" s="1"/>
  <c r="J66"/>
  <c r="B37" s="1"/>
  <c r="J67"/>
  <c r="B38" s="1"/>
  <c r="J68"/>
  <c r="B39" s="1"/>
  <c r="J69"/>
  <c r="B40" s="1"/>
  <c r="J70"/>
  <c r="B41" s="1"/>
  <c r="J71"/>
  <c r="B42" s="1"/>
  <c r="J72"/>
  <c r="B43" s="1"/>
  <c r="B24"/>
  <c r="C73"/>
  <c r="F72"/>
  <c r="I72" s="1"/>
  <c r="C43" s="1"/>
  <c r="D72"/>
  <c r="F71"/>
  <c r="I71" s="1"/>
  <c r="C42" s="1"/>
  <c r="D71"/>
  <c r="F70"/>
  <c r="I70" s="1"/>
  <c r="C41" s="1"/>
  <c r="D41" s="1"/>
  <c r="D70"/>
  <c r="F69"/>
  <c r="I69" s="1"/>
  <c r="C40" s="1"/>
  <c r="D40" s="1"/>
  <c r="D69"/>
  <c r="F68"/>
  <c r="I68" s="1"/>
  <c r="C39" s="1"/>
  <c r="D39" s="1"/>
  <c r="D68"/>
  <c r="F67"/>
  <c r="I67" s="1"/>
  <c r="C38" s="1"/>
  <c r="D38" s="1"/>
  <c r="D67"/>
  <c r="F66"/>
  <c r="I66" s="1"/>
  <c r="C37" s="1"/>
  <c r="D37" s="1"/>
  <c r="D66"/>
  <c r="F65"/>
  <c r="I65" s="1"/>
  <c r="C36" s="1"/>
  <c r="D65"/>
  <c r="F64"/>
  <c r="I64" s="1"/>
  <c r="C35" s="1"/>
  <c r="D64"/>
  <c r="F63"/>
  <c r="I63" s="1"/>
  <c r="C34" s="1"/>
  <c r="D63"/>
  <c r="F62"/>
  <c r="I62" s="1"/>
  <c r="C33" s="1"/>
  <c r="D62"/>
  <c r="F61"/>
  <c r="I61" s="1"/>
  <c r="C32" s="1"/>
  <c r="D32" s="1"/>
  <c r="D61"/>
  <c r="F60"/>
  <c r="I60" s="1"/>
  <c r="C31" s="1"/>
  <c r="D31" s="1"/>
  <c r="D60"/>
  <c r="F59"/>
  <c r="I59" s="1"/>
  <c r="C30" s="1"/>
  <c r="D30" s="1"/>
  <c r="D59"/>
  <c r="F58"/>
  <c r="I58" s="1"/>
  <c r="C29" s="1"/>
  <c r="D29" s="1"/>
  <c r="D58"/>
  <c r="F57"/>
  <c r="I57" s="1"/>
  <c r="C28" s="1"/>
  <c r="D28" s="1"/>
  <c r="D57"/>
  <c r="F56"/>
  <c r="I56" s="1"/>
  <c r="C27" s="1"/>
  <c r="D27" s="1"/>
  <c r="D56"/>
  <c r="F55"/>
  <c r="I55" s="1"/>
  <c r="C26" s="1"/>
  <c r="D26" s="1"/>
  <c r="D55"/>
  <c r="F54"/>
  <c r="I54" s="1"/>
  <c r="C25" s="1"/>
  <c r="D54"/>
  <c r="F53"/>
  <c r="I53" s="1"/>
  <c r="C24" s="1"/>
  <c r="D25" s="1"/>
  <c r="D53"/>
  <c r="C742" i="25"/>
  <c r="B736"/>
  <c r="B706"/>
  <c r="C93" i="31" l="1"/>
  <c r="D26" i="32"/>
  <c r="C84" i="31"/>
  <c r="D17" i="32"/>
  <c r="C90" i="31"/>
  <c r="D23" i="32"/>
  <c r="C91" i="31"/>
  <c r="D24" i="32"/>
  <c r="C79" i="31"/>
  <c r="D12" i="32"/>
  <c r="C87" i="31"/>
  <c r="D20" i="32"/>
  <c r="C78" i="31"/>
  <c r="D11" i="32"/>
  <c r="C96" i="31"/>
  <c r="D29" i="32"/>
  <c r="C95" i="31"/>
  <c r="D28" i="32"/>
  <c r="C89" i="31"/>
  <c r="D22" i="32"/>
  <c r="C77" i="31"/>
  <c r="D10" i="32"/>
  <c r="C85" i="31"/>
  <c r="D18" i="32"/>
  <c r="C83" i="31"/>
  <c r="D16" i="32"/>
  <c r="C94" i="31"/>
  <c r="D27" i="32"/>
  <c r="C92" i="31"/>
  <c r="D25" i="32"/>
  <c r="C86" i="31"/>
  <c r="D19" i="32"/>
  <c r="C82" i="31"/>
  <c r="D15" i="32"/>
  <c r="C81" i="31"/>
  <c r="D14" i="32"/>
  <c r="C80" i="31"/>
  <c r="D13" i="32"/>
  <c r="D34" i="26"/>
  <c r="D36"/>
  <c r="I73"/>
  <c r="D73"/>
  <c r="K742" i="25"/>
  <c r="L742" s="1"/>
  <c r="K743"/>
  <c r="L743" s="1"/>
  <c r="K744"/>
  <c r="L744" s="1"/>
  <c r="K745"/>
  <c r="L745" s="1"/>
  <c r="K746"/>
  <c r="L746" s="1"/>
  <c r="K747"/>
  <c r="L747" s="1"/>
  <c r="K748"/>
  <c r="L748" s="1"/>
  <c r="K749"/>
  <c r="K750"/>
  <c r="L750" s="1"/>
  <c r="K751"/>
  <c r="L751" s="1"/>
  <c r="K752"/>
  <c r="L752" s="1"/>
  <c r="K753"/>
  <c r="L753" s="1"/>
  <c r="K754"/>
  <c r="L754" s="1"/>
  <c r="K755"/>
  <c r="L755" s="1"/>
  <c r="K756"/>
  <c r="L756" s="1"/>
  <c r="K757"/>
  <c r="L757" s="1"/>
  <c r="K758"/>
  <c r="L758" s="1"/>
  <c r="K759"/>
  <c r="L759" s="1"/>
  <c r="K760"/>
  <c r="L760" s="1"/>
  <c r="K761"/>
  <c r="L761" s="1"/>
  <c r="E743"/>
  <c r="F743" s="1"/>
  <c r="E744"/>
  <c r="F744" s="1"/>
  <c r="E745"/>
  <c r="F745" s="1"/>
  <c r="E746"/>
  <c r="F746" s="1"/>
  <c r="E747"/>
  <c r="F747" s="1"/>
  <c r="E748"/>
  <c r="F748" s="1"/>
  <c r="E749"/>
  <c r="F749" s="1"/>
  <c r="E750"/>
  <c r="F750" s="1"/>
  <c r="E751"/>
  <c r="F751" s="1"/>
  <c r="E752"/>
  <c r="F752" s="1"/>
  <c r="E753"/>
  <c r="F753" s="1"/>
  <c r="E754"/>
  <c r="F754" s="1"/>
  <c r="E755"/>
  <c r="F755" s="1"/>
  <c r="E756"/>
  <c r="F756" s="1"/>
  <c r="E757"/>
  <c r="F757" s="1"/>
  <c r="E758"/>
  <c r="F758" s="1"/>
  <c r="E759"/>
  <c r="F759" s="1"/>
  <c r="E760"/>
  <c r="F760" s="1"/>
  <c r="E761"/>
  <c r="F761" s="1"/>
  <c r="D761"/>
  <c r="D760"/>
  <c r="D759"/>
  <c r="D758"/>
  <c r="D757"/>
  <c r="D756"/>
  <c r="D755"/>
  <c r="D754"/>
  <c r="D753"/>
  <c r="D752"/>
  <c r="D751"/>
  <c r="D750"/>
  <c r="L749"/>
  <c r="D749"/>
  <c r="D748"/>
  <c r="D747"/>
  <c r="D746"/>
  <c r="D745"/>
  <c r="D744"/>
  <c r="D743"/>
  <c r="C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E712"/>
  <c r="F712" s="1"/>
  <c r="E714"/>
  <c r="F714" s="1"/>
  <c r="E678"/>
  <c r="E679"/>
  <c r="F679" s="1"/>
  <c r="E680"/>
  <c r="F680" s="1"/>
  <c r="E681"/>
  <c r="F681" s="1"/>
  <c r="H679" s="1"/>
  <c r="E682"/>
  <c r="F682" s="1"/>
  <c r="H680" s="1"/>
  <c r="E683"/>
  <c r="F683" s="1"/>
  <c r="H681" s="1"/>
  <c r="E684"/>
  <c r="F684" s="1"/>
  <c r="E685"/>
  <c r="F685" s="1"/>
  <c r="H684" s="1"/>
  <c r="E686"/>
  <c r="F686" s="1"/>
  <c r="H685" s="1"/>
  <c r="E687"/>
  <c r="F687" s="1"/>
  <c r="E688"/>
  <c r="F688" s="1"/>
  <c r="E689"/>
  <c r="F689" s="1"/>
  <c r="H687" s="1"/>
  <c r="E690"/>
  <c r="F690" s="1"/>
  <c r="H688" s="1"/>
  <c r="E691"/>
  <c r="F691" s="1"/>
  <c r="H689" s="1"/>
  <c r="E692"/>
  <c r="F692" s="1"/>
  <c r="H690" s="1"/>
  <c r="E693"/>
  <c r="F693" s="1"/>
  <c r="E694"/>
  <c r="F694" s="1"/>
  <c r="H693" s="1"/>
  <c r="E695"/>
  <c r="F695" s="1"/>
  <c r="H694" s="1"/>
  <c r="E696"/>
  <c r="F696" s="1"/>
  <c r="E697"/>
  <c r="F697" s="1"/>
  <c r="F678"/>
  <c r="D679"/>
  <c r="J614" s="1"/>
  <c r="D680"/>
  <c r="J615" s="1"/>
  <c r="D681"/>
  <c r="J616" s="1"/>
  <c r="D682"/>
  <c r="J617" s="1"/>
  <c r="D683"/>
  <c r="J618" s="1"/>
  <c r="D684"/>
  <c r="J619" s="1"/>
  <c r="D685"/>
  <c r="J620" s="1"/>
  <c r="D686"/>
  <c r="J621" s="1"/>
  <c r="D687"/>
  <c r="J622" s="1"/>
  <c r="D688"/>
  <c r="J623" s="1"/>
  <c r="D689"/>
  <c r="J624" s="1"/>
  <c r="D690"/>
  <c r="J625" s="1"/>
  <c r="D691"/>
  <c r="J626" s="1"/>
  <c r="D692"/>
  <c r="J627" s="1"/>
  <c r="D693"/>
  <c r="J628" s="1"/>
  <c r="D694"/>
  <c r="J629" s="1"/>
  <c r="D695"/>
  <c r="J630" s="1"/>
  <c r="D696"/>
  <c r="J631" s="1"/>
  <c r="D697"/>
  <c r="J632" s="1"/>
  <c r="D678"/>
  <c r="J613" s="1"/>
  <c r="B672"/>
  <c r="P679" s="1"/>
  <c r="Q679" s="1"/>
  <c r="C774"/>
  <c r="F774" s="1"/>
  <c r="G774" s="1"/>
  <c r="E774"/>
  <c r="AS774" s="1"/>
  <c r="J774"/>
  <c r="AP774" s="1"/>
  <c r="AQ774" s="1"/>
  <c r="N774"/>
  <c r="S774"/>
  <c r="AA774"/>
  <c r="AJ774"/>
  <c r="AM774"/>
  <c r="C775"/>
  <c r="F775" s="1"/>
  <c r="G775" s="1"/>
  <c r="E775"/>
  <c r="AS775" s="1"/>
  <c r="J775"/>
  <c r="N775"/>
  <c r="S775"/>
  <c r="AA775"/>
  <c r="AJ775"/>
  <c r="AM775"/>
  <c r="C776"/>
  <c r="F776" s="1"/>
  <c r="G776" s="1"/>
  <c r="E776"/>
  <c r="AS776" s="1"/>
  <c r="J776"/>
  <c r="N776"/>
  <c r="S776"/>
  <c r="U774" s="1"/>
  <c r="AA776"/>
  <c r="AC774" s="1"/>
  <c r="AJ776"/>
  <c r="AM776"/>
  <c r="C777"/>
  <c r="F777" s="1"/>
  <c r="G777" s="1"/>
  <c r="E777"/>
  <c r="AS777" s="1"/>
  <c r="J777"/>
  <c r="AP777" s="1"/>
  <c r="N777"/>
  <c r="S777"/>
  <c r="U775" s="1"/>
  <c r="AA777"/>
  <c r="AC775" s="1"/>
  <c r="AJ777"/>
  <c r="AM777"/>
  <c r="C778"/>
  <c r="F778" s="1"/>
  <c r="G778" s="1"/>
  <c r="E778"/>
  <c r="AS778" s="1"/>
  <c r="J778"/>
  <c r="K778" s="1"/>
  <c r="N778"/>
  <c r="S778"/>
  <c r="U776" s="1"/>
  <c r="AA778"/>
  <c r="AC776" s="1"/>
  <c r="AJ778"/>
  <c r="AM778"/>
  <c r="C779"/>
  <c r="F779" s="1"/>
  <c r="G779" s="1"/>
  <c r="E779"/>
  <c r="AS779" s="1"/>
  <c r="J779"/>
  <c r="N779"/>
  <c r="S779"/>
  <c r="U777" s="1"/>
  <c r="AA779"/>
  <c r="AC777" s="1"/>
  <c r="AJ779"/>
  <c r="AM779"/>
  <c r="C780"/>
  <c r="F780" s="1"/>
  <c r="G780" s="1"/>
  <c r="E780"/>
  <c r="AS780" s="1"/>
  <c r="J780"/>
  <c r="K780" s="1"/>
  <c r="N780"/>
  <c r="S780"/>
  <c r="U779" s="1"/>
  <c r="AA780"/>
  <c r="AC779" s="1"/>
  <c r="AJ780"/>
  <c r="AM780"/>
  <c r="C781"/>
  <c r="F781" s="1"/>
  <c r="G781" s="1"/>
  <c r="E781"/>
  <c r="AS781" s="1"/>
  <c r="J781"/>
  <c r="AP781" s="1"/>
  <c r="N781"/>
  <c r="S781"/>
  <c r="U780" s="1"/>
  <c r="AA781"/>
  <c r="AC780" s="1"/>
  <c r="AJ781"/>
  <c r="AM781"/>
  <c r="C782"/>
  <c r="F782" s="1"/>
  <c r="G782" s="1"/>
  <c r="E782"/>
  <c r="AS782" s="1"/>
  <c r="J782"/>
  <c r="K782" s="1"/>
  <c r="N782"/>
  <c r="S782"/>
  <c r="U781" s="1"/>
  <c r="AA782"/>
  <c r="AC781" s="1"/>
  <c r="AJ782"/>
  <c r="AM782"/>
  <c r="C783"/>
  <c r="F783" s="1"/>
  <c r="G783" s="1"/>
  <c r="E783"/>
  <c r="AS783" s="1"/>
  <c r="J783"/>
  <c r="N783"/>
  <c r="S783"/>
  <c r="AA783"/>
  <c r="AJ783"/>
  <c r="AM783"/>
  <c r="C784"/>
  <c r="F784" s="1"/>
  <c r="G784" s="1"/>
  <c r="E784"/>
  <c r="AS784" s="1"/>
  <c r="N784"/>
  <c r="S784"/>
  <c r="AA784"/>
  <c r="AJ784"/>
  <c r="AM784"/>
  <c r="C785"/>
  <c r="F785" s="1"/>
  <c r="G785" s="1"/>
  <c r="E785"/>
  <c r="AS785" s="1"/>
  <c r="N785"/>
  <c r="S785"/>
  <c r="U783" s="1"/>
  <c r="AA785"/>
  <c r="AC783" s="1"/>
  <c r="AJ785"/>
  <c r="AM785"/>
  <c r="C786"/>
  <c r="F786" s="1"/>
  <c r="G786" s="1"/>
  <c r="E786"/>
  <c r="AS786" s="1"/>
  <c r="N786"/>
  <c r="S786"/>
  <c r="U784" s="1"/>
  <c r="AA786"/>
  <c r="AC784" s="1"/>
  <c r="AJ786"/>
  <c r="AM786"/>
  <c r="C787"/>
  <c r="F787" s="1"/>
  <c r="G787" s="1"/>
  <c r="E787"/>
  <c r="AS787" s="1"/>
  <c r="N787"/>
  <c r="S787"/>
  <c r="U785" s="1"/>
  <c r="AA787"/>
  <c r="AC785" s="1"/>
  <c r="AJ787"/>
  <c r="AM787"/>
  <c r="C788"/>
  <c r="F788" s="1"/>
  <c r="G788" s="1"/>
  <c r="E788"/>
  <c r="AS788" s="1"/>
  <c r="N788"/>
  <c r="S788"/>
  <c r="U786" s="1"/>
  <c r="AA788"/>
  <c r="AC786" s="1"/>
  <c r="AJ788"/>
  <c r="AM788"/>
  <c r="C789"/>
  <c r="F789" s="1"/>
  <c r="G789" s="1"/>
  <c r="E789"/>
  <c r="AS789" s="1"/>
  <c r="N789"/>
  <c r="S789"/>
  <c r="U787" s="1"/>
  <c r="AA789"/>
  <c r="AC787" s="1"/>
  <c r="AJ789"/>
  <c r="AM789"/>
  <c r="C790"/>
  <c r="F790" s="1"/>
  <c r="G790" s="1"/>
  <c r="E790"/>
  <c r="AS790" s="1"/>
  <c r="N790"/>
  <c r="S790"/>
  <c r="U789" s="1"/>
  <c r="Z790"/>
  <c r="AA790" s="1"/>
  <c r="AC789" s="1"/>
  <c r="AJ790"/>
  <c r="AM790"/>
  <c r="B640"/>
  <c r="D647"/>
  <c r="C614" s="1"/>
  <c r="D648"/>
  <c r="C615" s="1"/>
  <c r="D649"/>
  <c r="C616" s="1"/>
  <c r="D650"/>
  <c r="C617" s="1"/>
  <c r="D651"/>
  <c r="C618" s="1"/>
  <c r="D652"/>
  <c r="C619" s="1"/>
  <c r="D653"/>
  <c r="C620" s="1"/>
  <c r="D654"/>
  <c r="C621" s="1"/>
  <c r="D655"/>
  <c r="C622" s="1"/>
  <c r="D656"/>
  <c r="C623" s="1"/>
  <c r="D657"/>
  <c r="C624" s="1"/>
  <c r="D658"/>
  <c r="C625" s="1"/>
  <c r="D659"/>
  <c r="C626" s="1"/>
  <c r="D660"/>
  <c r="C627" s="1"/>
  <c r="D661"/>
  <c r="C628" s="1"/>
  <c r="D662"/>
  <c r="C629" s="1"/>
  <c r="D663"/>
  <c r="C630" s="1"/>
  <c r="D664"/>
  <c r="C631" s="1"/>
  <c r="D665"/>
  <c r="C632" s="1"/>
  <c r="D646"/>
  <c r="C613" s="1"/>
  <c r="D63"/>
  <c r="L62"/>
  <c r="E62"/>
  <c r="C62"/>
  <c r="D559" s="1"/>
  <c r="L61"/>
  <c r="E61"/>
  <c r="C61"/>
  <c r="L60"/>
  <c r="E60"/>
  <c r="C60"/>
  <c r="D557" s="1"/>
  <c r="L59"/>
  <c r="E59"/>
  <c r="C59"/>
  <c r="L58"/>
  <c r="E58"/>
  <c r="C58"/>
  <c r="D555" s="1"/>
  <c r="L57"/>
  <c r="E57"/>
  <c r="C57"/>
  <c r="L56"/>
  <c r="E56"/>
  <c r="C56"/>
  <c r="D553" s="1"/>
  <c r="L55"/>
  <c r="E55"/>
  <c r="C55"/>
  <c r="L54"/>
  <c r="E54"/>
  <c r="C54"/>
  <c r="D551" s="1"/>
  <c r="L53"/>
  <c r="E53"/>
  <c r="C53"/>
  <c r="L52"/>
  <c r="J52"/>
  <c r="E52"/>
  <c r="C52"/>
  <c r="D549" s="1"/>
  <c r="L51"/>
  <c r="J51"/>
  <c r="E51"/>
  <c r="C51"/>
  <c r="L50"/>
  <c r="J50"/>
  <c r="E50"/>
  <c r="C50"/>
  <c r="D547" s="1"/>
  <c r="L49"/>
  <c r="J49"/>
  <c r="E49"/>
  <c r="C49"/>
  <c r="L48"/>
  <c r="J48"/>
  <c r="E48"/>
  <c r="C48"/>
  <c r="D545" s="1"/>
  <c r="L47"/>
  <c r="J47"/>
  <c r="E47"/>
  <c r="C47"/>
  <c r="L46"/>
  <c r="J46"/>
  <c r="E46"/>
  <c r="C46"/>
  <c r="D543" s="1"/>
  <c r="L45"/>
  <c r="J45"/>
  <c r="E45"/>
  <c r="C45"/>
  <c r="L44"/>
  <c r="J44"/>
  <c r="E44"/>
  <c r="C44"/>
  <c r="D541" s="1"/>
  <c r="L43"/>
  <c r="J43"/>
  <c r="E43"/>
  <c r="E63" s="1"/>
  <c r="C43"/>
  <c r="AJ791"/>
  <c r="AJ792"/>
  <c r="AJ793"/>
  <c r="F115" l="1"/>
  <c r="F85"/>
  <c r="F117"/>
  <c r="F87"/>
  <c r="F120"/>
  <c r="F90"/>
  <c r="F121"/>
  <c r="F91"/>
  <c r="F118"/>
  <c r="F88"/>
  <c r="F342"/>
  <c r="H342" s="1"/>
  <c r="J342" s="1"/>
  <c r="F122"/>
  <c r="F92"/>
  <c r="F114"/>
  <c r="F84"/>
  <c r="F336"/>
  <c r="H336" s="1"/>
  <c r="J336" s="1"/>
  <c r="F116"/>
  <c r="F86"/>
  <c r="F119"/>
  <c r="F89"/>
  <c r="F123"/>
  <c r="F93"/>
  <c r="F183"/>
  <c r="F335"/>
  <c r="H335" s="1"/>
  <c r="J335" s="1"/>
  <c r="F185"/>
  <c r="H185" s="1"/>
  <c r="J185" s="1"/>
  <c r="K185" s="1"/>
  <c r="F337"/>
  <c r="H337" s="1"/>
  <c r="J337" s="1"/>
  <c r="F187"/>
  <c r="F339"/>
  <c r="H339" s="1"/>
  <c r="J339" s="1"/>
  <c r="F189"/>
  <c r="H189" s="1"/>
  <c r="J189" s="1"/>
  <c r="K189" s="1"/>
  <c r="F341"/>
  <c r="H341" s="1"/>
  <c r="J341" s="1"/>
  <c r="I336"/>
  <c r="F188"/>
  <c r="F340"/>
  <c r="H340" s="1"/>
  <c r="J340" s="1"/>
  <c r="F191"/>
  <c r="H191" s="1"/>
  <c r="J191" s="1"/>
  <c r="K191" s="1"/>
  <c r="F343"/>
  <c r="H343" s="1"/>
  <c r="J343" s="1"/>
  <c r="F182"/>
  <c r="G182" s="1"/>
  <c r="F334"/>
  <c r="H334" s="1"/>
  <c r="F186"/>
  <c r="H186" s="1"/>
  <c r="J186" s="1"/>
  <c r="K186" s="1"/>
  <c r="F338"/>
  <c r="H338" s="1"/>
  <c r="J338" s="1"/>
  <c r="F184"/>
  <c r="G184" s="1"/>
  <c r="G218"/>
  <c r="I218" s="1"/>
  <c r="K218" s="1"/>
  <c r="F190"/>
  <c r="G190" s="1"/>
  <c r="G224"/>
  <c r="H224" s="1"/>
  <c r="H183"/>
  <c r="J183" s="1"/>
  <c r="K183" s="1"/>
  <c r="G183"/>
  <c r="H187"/>
  <c r="J187" s="1"/>
  <c r="K187" s="1"/>
  <c r="G187"/>
  <c r="H182"/>
  <c r="J182" s="1"/>
  <c r="K182" s="1"/>
  <c r="H188"/>
  <c r="J188" s="1"/>
  <c r="K188" s="1"/>
  <c r="G188"/>
  <c r="G216"/>
  <c r="H216" s="1"/>
  <c r="F298"/>
  <c r="F300"/>
  <c r="G300" s="1"/>
  <c r="G222"/>
  <c r="I222" s="1"/>
  <c r="K222" s="1"/>
  <c r="F304"/>
  <c r="G304" s="1"/>
  <c r="G225"/>
  <c r="I225" s="1"/>
  <c r="K225" s="1"/>
  <c r="F307"/>
  <c r="G307" s="1"/>
  <c r="G220"/>
  <c r="I220" s="1"/>
  <c r="K220" s="1"/>
  <c r="F302"/>
  <c r="G302" s="1"/>
  <c r="G223"/>
  <c r="H223" s="1"/>
  <c r="F305"/>
  <c r="G305" s="1"/>
  <c r="G217"/>
  <c r="I217" s="1"/>
  <c r="K217" s="1"/>
  <c r="F299"/>
  <c r="G299" s="1"/>
  <c r="G219"/>
  <c r="I219" s="1"/>
  <c r="K219" s="1"/>
  <c r="F301"/>
  <c r="G221"/>
  <c r="I221" s="1"/>
  <c r="K221" s="1"/>
  <c r="F303"/>
  <c r="G303" s="1"/>
  <c r="F306"/>
  <c r="G306" s="1"/>
  <c r="I216"/>
  <c r="K216" s="1"/>
  <c r="I224"/>
  <c r="G471"/>
  <c r="J471" s="1"/>
  <c r="K471" s="1"/>
  <c r="F151"/>
  <c r="G151" s="1"/>
  <c r="G473"/>
  <c r="H473" s="1"/>
  <c r="F153"/>
  <c r="G153" s="1"/>
  <c r="G476"/>
  <c r="H476" s="1"/>
  <c r="F156"/>
  <c r="G156" s="1"/>
  <c r="G478"/>
  <c r="J478" s="1"/>
  <c r="K478" s="1"/>
  <c r="F158"/>
  <c r="G158" s="1"/>
  <c r="G480"/>
  <c r="J480" s="1"/>
  <c r="K480" s="1"/>
  <c r="F160"/>
  <c r="G160" s="1"/>
  <c r="G472"/>
  <c r="J472" s="1"/>
  <c r="K472" s="1"/>
  <c r="F152"/>
  <c r="G152" s="1"/>
  <c r="G474"/>
  <c r="J474" s="1"/>
  <c r="K474" s="1"/>
  <c r="F154"/>
  <c r="G154" s="1"/>
  <c r="G477"/>
  <c r="J477" s="1"/>
  <c r="K477" s="1"/>
  <c r="F157"/>
  <c r="G157" s="1"/>
  <c r="G475"/>
  <c r="J475" s="1"/>
  <c r="K475" s="1"/>
  <c r="F155"/>
  <c r="G155" s="1"/>
  <c r="G479"/>
  <c r="H479" s="1"/>
  <c r="F159"/>
  <c r="G159" s="1"/>
  <c r="H474"/>
  <c r="G411"/>
  <c r="H411" s="1"/>
  <c r="J411" s="1"/>
  <c r="L411" s="1"/>
  <c r="G444"/>
  <c r="H444" s="1"/>
  <c r="G412"/>
  <c r="H412" s="1"/>
  <c r="J412" s="1"/>
  <c r="L412" s="1"/>
  <c r="G445"/>
  <c r="H445" s="1"/>
  <c r="G413"/>
  <c r="H413" s="1"/>
  <c r="J413" s="1"/>
  <c r="L413" s="1"/>
  <c r="G446"/>
  <c r="G414"/>
  <c r="H414" s="1"/>
  <c r="J414" s="1"/>
  <c r="L414" s="1"/>
  <c r="G447"/>
  <c r="G415"/>
  <c r="H415" s="1"/>
  <c r="J415" s="1"/>
  <c r="G448"/>
  <c r="G416"/>
  <c r="H416" s="1"/>
  <c r="J416" s="1"/>
  <c r="L416" s="1"/>
  <c r="G449"/>
  <c r="G417"/>
  <c r="H417" s="1"/>
  <c r="J417" s="1"/>
  <c r="L417" s="1"/>
  <c r="G450"/>
  <c r="G418"/>
  <c r="H418" s="1"/>
  <c r="J418" s="1"/>
  <c r="L418" s="1"/>
  <c r="G451"/>
  <c r="G419"/>
  <c r="H419" s="1"/>
  <c r="J419" s="1"/>
  <c r="G452"/>
  <c r="G420"/>
  <c r="H420" s="1"/>
  <c r="J420" s="1"/>
  <c r="L420" s="1"/>
  <c r="G453"/>
  <c r="K413"/>
  <c r="E540"/>
  <c r="J540" s="1"/>
  <c r="E542"/>
  <c r="J542" s="1"/>
  <c r="E544"/>
  <c r="J544" s="1"/>
  <c r="E546"/>
  <c r="J546" s="1"/>
  <c r="E541"/>
  <c r="J541" s="1"/>
  <c r="E543"/>
  <c r="J543" s="1"/>
  <c r="E545"/>
  <c r="J545" s="1"/>
  <c r="E547"/>
  <c r="K547" s="1"/>
  <c r="E548"/>
  <c r="J548" s="1"/>
  <c r="E549"/>
  <c r="J549" s="1"/>
  <c r="F43"/>
  <c r="G43" s="1"/>
  <c r="D540"/>
  <c r="F45"/>
  <c r="G45" s="1"/>
  <c r="D542"/>
  <c r="F47"/>
  <c r="G47" s="1"/>
  <c r="D544"/>
  <c r="F49"/>
  <c r="G49" s="1"/>
  <c r="D546"/>
  <c r="F51"/>
  <c r="G51" s="1"/>
  <c r="D548"/>
  <c r="F53"/>
  <c r="G53" s="1"/>
  <c r="D550"/>
  <c r="F55"/>
  <c r="G55" s="1"/>
  <c r="D552"/>
  <c r="F57"/>
  <c r="G57" s="1"/>
  <c r="D554"/>
  <c r="F59"/>
  <c r="G59" s="1"/>
  <c r="D556"/>
  <c r="F61"/>
  <c r="G61" s="1"/>
  <c r="D558"/>
  <c r="K541"/>
  <c r="K542"/>
  <c r="K544"/>
  <c r="K548"/>
  <c r="K549"/>
  <c r="P647"/>
  <c r="Q647" s="1"/>
  <c r="S665" s="1"/>
  <c r="F389"/>
  <c r="F386"/>
  <c r="F385"/>
  <c r="J445" s="1"/>
  <c r="F403"/>
  <c r="F402"/>
  <c r="F401"/>
  <c r="F400"/>
  <c r="F399"/>
  <c r="F398"/>
  <c r="F397"/>
  <c r="F396"/>
  <c r="F395"/>
  <c r="F394"/>
  <c r="F393"/>
  <c r="F392"/>
  <c r="F391"/>
  <c r="F390"/>
  <c r="F388"/>
  <c r="F384"/>
  <c r="F387"/>
  <c r="P663"/>
  <c r="Q663" s="1"/>
  <c r="S662" s="1"/>
  <c r="O779"/>
  <c r="P779" s="1"/>
  <c r="AP778"/>
  <c r="AQ778" s="1"/>
  <c r="M46"/>
  <c r="B577" s="1"/>
  <c r="P665"/>
  <c r="Q665" s="1"/>
  <c r="P661"/>
  <c r="Q661" s="1"/>
  <c r="S659" s="1"/>
  <c r="G712"/>
  <c r="H712" s="1"/>
  <c r="M742"/>
  <c r="N742" s="1"/>
  <c r="P646"/>
  <c r="Q646" s="1"/>
  <c r="S664" s="1"/>
  <c r="P664"/>
  <c r="Q664" s="1"/>
  <c r="P662"/>
  <c r="Q662" s="1"/>
  <c r="S661" s="1"/>
  <c r="P660"/>
  <c r="Q660" s="1"/>
  <c r="S658" s="1"/>
  <c r="M751"/>
  <c r="N751" s="1"/>
  <c r="M749"/>
  <c r="N749" s="1"/>
  <c r="M747"/>
  <c r="N747" s="1"/>
  <c r="M750"/>
  <c r="N750" s="1"/>
  <c r="M748"/>
  <c r="N748" s="1"/>
  <c r="M746"/>
  <c r="N746" s="1"/>
  <c r="M745"/>
  <c r="N745" s="1"/>
  <c r="M744"/>
  <c r="N744" s="1"/>
  <c r="M743"/>
  <c r="N743" s="1"/>
  <c r="E742"/>
  <c r="F742" s="1"/>
  <c r="G751"/>
  <c r="H751" s="1"/>
  <c r="G749"/>
  <c r="H749" s="1"/>
  <c r="G747"/>
  <c r="H747" s="1"/>
  <c r="G745"/>
  <c r="H745" s="1"/>
  <c r="G743"/>
  <c r="H743" s="1"/>
  <c r="G750"/>
  <c r="H750" s="1"/>
  <c r="G748"/>
  <c r="H748" s="1"/>
  <c r="G746"/>
  <c r="H746" s="1"/>
  <c r="G744"/>
  <c r="H744" s="1"/>
  <c r="D742"/>
  <c r="P659"/>
  <c r="Q659" s="1"/>
  <c r="S657" s="1"/>
  <c r="P658"/>
  <c r="Q658" s="1"/>
  <c r="S656" s="1"/>
  <c r="P657"/>
  <c r="Q657" s="1"/>
  <c r="S655" s="1"/>
  <c r="P655"/>
  <c r="Q655" s="1"/>
  <c r="T655" s="1"/>
  <c r="G714"/>
  <c r="H714" s="1"/>
  <c r="P651"/>
  <c r="Q651" s="1"/>
  <c r="S649" s="1"/>
  <c r="E731"/>
  <c r="F731" s="1"/>
  <c r="E729"/>
  <c r="F729" s="1"/>
  <c r="E727"/>
  <c r="F727" s="1"/>
  <c r="E725"/>
  <c r="F725" s="1"/>
  <c r="E723"/>
  <c r="F723" s="1"/>
  <c r="E721"/>
  <c r="F721" s="1"/>
  <c r="G721" s="1"/>
  <c r="H721" s="1"/>
  <c r="E719"/>
  <c r="F719" s="1"/>
  <c r="G719" s="1"/>
  <c r="H719" s="1"/>
  <c r="E717"/>
  <c r="F717" s="1"/>
  <c r="G717" s="1"/>
  <c r="H717" s="1"/>
  <c r="E715"/>
  <c r="F715" s="1"/>
  <c r="G715" s="1"/>
  <c r="H715" s="1"/>
  <c r="E713"/>
  <c r="F713" s="1"/>
  <c r="G713" s="1"/>
  <c r="H713" s="1"/>
  <c r="D712"/>
  <c r="E730"/>
  <c r="F730" s="1"/>
  <c r="E728"/>
  <c r="F728" s="1"/>
  <c r="E726"/>
  <c r="F726" s="1"/>
  <c r="E724"/>
  <c r="F724" s="1"/>
  <c r="E722"/>
  <c r="F722" s="1"/>
  <c r="E720"/>
  <c r="F720" s="1"/>
  <c r="G720" s="1"/>
  <c r="H720" s="1"/>
  <c r="E718"/>
  <c r="F718" s="1"/>
  <c r="G718" s="1"/>
  <c r="H718" s="1"/>
  <c r="E716"/>
  <c r="F716" s="1"/>
  <c r="G716" s="1"/>
  <c r="H716" s="1"/>
  <c r="AN783"/>
  <c r="AO783" s="1"/>
  <c r="AF781"/>
  <c r="AG781" s="1"/>
  <c r="P653"/>
  <c r="Q653" s="1"/>
  <c r="W653" s="1"/>
  <c r="P649"/>
  <c r="Q649" s="1"/>
  <c r="W649" s="1"/>
  <c r="H695"/>
  <c r="AF780"/>
  <c r="AG780" s="1"/>
  <c r="X777"/>
  <c r="Y777" s="1"/>
  <c r="AN779"/>
  <c r="AO779" s="1"/>
  <c r="AF778"/>
  <c r="AH778" s="1"/>
  <c r="X778"/>
  <c r="Y778" s="1"/>
  <c r="AN778"/>
  <c r="AO778" s="1"/>
  <c r="V778"/>
  <c r="O778"/>
  <c r="P778" s="1"/>
  <c r="M778"/>
  <c r="AD777"/>
  <c r="AE777" s="1"/>
  <c r="H683"/>
  <c r="H682"/>
  <c r="H691"/>
  <c r="H692"/>
  <c r="H686"/>
  <c r="M52"/>
  <c r="P656"/>
  <c r="Q656" s="1"/>
  <c r="P654"/>
  <c r="Q654" s="1"/>
  <c r="W654" s="1"/>
  <c r="E621" s="1"/>
  <c r="P652"/>
  <c r="Q652" s="1"/>
  <c r="S650" s="1"/>
  <c r="P650"/>
  <c r="Q650" s="1"/>
  <c r="T650" s="1"/>
  <c r="P648"/>
  <c r="Q648" s="1"/>
  <c r="W648" s="1"/>
  <c r="E615" s="1"/>
  <c r="P678"/>
  <c r="Q678" s="1"/>
  <c r="T678" s="1"/>
  <c r="P696"/>
  <c r="Q696" s="1"/>
  <c r="P694"/>
  <c r="Q694" s="1"/>
  <c r="S693" s="1"/>
  <c r="P692"/>
  <c r="Q692" s="1"/>
  <c r="S690" s="1"/>
  <c r="P690"/>
  <c r="Q690" s="1"/>
  <c r="S688" s="1"/>
  <c r="P688"/>
  <c r="Q688" s="1"/>
  <c r="P686"/>
  <c r="Q686" s="1"/>
  <c r="S685" s="1"/>
  <c r="P684"/>
  <c r="Q684" s="1"/>
  <c r="T684" s="1"/>
  <c r="P682"/>
  <c r="Q682" s="1"/>
  <c r="S680" s="1"/>
  <c r="P680"/>
  <c r="Q680" s="1"/>
  <c r="S678" s="1"/>
  <c r="E646"/>
  <c r="E664"/>
  <c r="E662"/>
  <c r="E660"/>
  <c r="E658"/>
  <c r="E656"/>
  <c r="E654"/>
  <c r="E652"/>
  <c r="E650"/>
  <c r="E648"/>
  <c r="U782"/>
  <c r="X783"/>
  <c r="Y783" s="1"/>
  <c r="AD778"/>
  <c r="P697"/>
  <c r="Q697" s="1"/>
  <c r="P695"/>
  <c r="Q695" s="1"/>
  <c r="S694" s="1"/>
  <c r="P693"/>
  <c r="Q693" s="1"/>
  <c r="P691"/>
  <c r="Q691" s="1"/>
  <c r="S689" s="1"/>
  <c r="P689"/>
  <c r="Q689" s="1"/>
  <c r="S687" s="1"/>
  <c r="P687"/>
  <c r="Q687" s="1"/>
  <c r="P685"/>
  <c r="Q685" s="1"/>
  <c r="S684" s="1"/>
  <c r="P683"/>
  <c r="Q683" s="1"/>
  <c r="S681" s="1"/>
  <c r="P681"/>
  <c r="Q681" s="1"/>
  <c r="S679" s="1"/>
  <c r="E665"/>
  <c r="F665" s="1"/>
  <c r="E663"/>
  <c r="F663" s="1"/>
  <c r="E661"/>
  <c r="F661" s="1"/>
  <c r="E659"/>
  <c r="F659" s="1"/>
  <c r="E657"/>
  <c r="F657" s="1"/>
  <c r="E655"/>
  <c r="E653"/>
  <c r="E651"/>
  <c r="E649"/>
  <c r="F649" s="1"/>
  <c r="E647"/>
  <c r="AP780"/>
  <c r="AQ780" s="1"/>
  <c r="AD783"/>
  <c r="AE783" s="1"/>
  <c r="I685"/>
  <c r="J685" s="1"/>
  <c r="K685" s="1"/>
  <c r="I681"/>
  <c r="J681" s="1"/>
  <c r="K681" s="1"/>
  <c r="L686"/>
  <c r="K621" s="1"/>
  <c r="L682"/>
  <c r="K617" s="1"/>
  <c r="AN780"/>
  <c r="AO780" s="1"/>
  <c r="AD780"/>
  <c r="AE780" s="1"/>
  <c r="X780"/>
  <c r="Y780" s="1"/>
  <c r="V780"/>
  <c r="W780" s="1"/>
  <c r="V774"/>
  <c r="W774" s="1"/>
  <c r="I687"/>
  <c r="J687" s="1"/>
  <c r="K687" s="1"/>
  <c r="I683"/>
  <c r="L684"/>
  <c r="K619" s="1"/>
  <c r="AQ781"/>
  <c r="AR781"/>
  <c r="K779"/>
  <c r="X779"/>
  <c r="Y779" s="1"/>
  <c r="AD779"/>
  <c r="AE779" s="1"/>
  <c r="AP779"/>
  <c r="AQ779" s="1"/>
  <c r="AQ777"/>
  <c r="AR777"/>
  <c r="K777"/>
  <c r="M777"/>
  <c r="O777"/>
  <c r="P777" s="1"/>
  <c r="V777"/>
  <c r="W777" s="1"/>
  <c r="AF777"/>
  <c r="AH777" s="1"/>
  <c r="AN777"/>
  <c r="AO777" s="1"/>
  <c r="K783"/>
  <c r="L783"/>
  <c r="AF783"/>
  <c r="AG783" s="1"/>
  <c r="AP783"/>
  <c r="AQ783" s="1"/>
  <c r="K781"/>
  <c r="AN781"/>
  <c r="AO781" s="1"/>
  <c r="K776"/>
  <c r="X776"/>
  <c r="Y776" s="1"/>
  <c r="K775"/>
  <c r="V775"/>
  <c r="W775" s="1"/>
  <c r="AD775"/>
  <c r="AE775" s="1"/>
  <c r="K774"/>
  <c r="L774"/>
  <c r="O774"/>
  <c r="P774" s="1"/>
  <c r="X774"/>
  <c r="Y774" s="1"/>
  <c r="AF774"/>
  <c r="AG774" s="1"/>
  <c r="AF779"/>
  <c r="AI779" s="1"/>
  <c r="L777"/>
  <c r="V779"/>
  <c r="W779" s="1"/>
  <c r="V776"/>
  <c r="W776" s="1"/>
  <c r="I686"/>
  <c r="I684"/>
  <c r="J684" s="1"/>
  <c r="K684" s="1"/>
  <c r="I682"/>
  <c r="L687"/>
  <c r="L685"/>
  <c r="L683"/>
  <c r="L681"/>
  <c r="H678"/>
  <c r="L680"/>
  <c r="I680"/>
  <c r="J680" s="1"/>
  <c r="K680" s="1"/>
  <c r="I679"/>
  <c r="J679" s="1"/>
  <c r="K679" s="1"/>
  <c r="L679"/>
  <c r="H697"/>
  <c r="W679"/>
  <c r="Z679" s="1"/>
  <c r="S697"/>
  <c r="T679"/>
  <c r="L678"/>
  <c r="I678"/>
  <c r="H696"/>
  <c r="X781"/>
  <c r="Y781" s="1"/>
  <c r="V781"/>
  <c r="W781" s="1"/>
  <c r="L780"/>
  <c r="L779"/>
  <c r="AR774"/>
  <c r="L775"/>
  <c r="V783"/>
  <c r="W783" s="1"/>
  <c r="O783"/>
  <c r="P783" s="1"/>
  <c r="M783"/>
  <c r="X782"/>
  <c r="Y782" s="1"/>
  <c r="V782"/>
  <c r="L781"/>
  <c r="M779"/>
  <c r="L778"/>
  <c r="AP776"/>
  <c r="AN776"/>
  <c r="AO776" s="1"/>
  <c r="AF776"/>
  <c r="L776"/>
  <c r="AP775"/>
  <c r="AN775"/>
  <c r="AO775" s="1"/>
  <c r="AF775"/>
  <c r="X775"/>
  <c r="Y775" s="1"/>
  <c r="O775"/>
  <c r="P775" s="1"/>
  <c r="M775"/>
  <c r="AP782"/>
  <c r="AN782"/>
  <c r="AO782" s="1"/>
  <c r="AF782"/>
  <c r="L782"/>
  <c r="AD781"/>
  <c r="AE781" s="1"/>
  <c r="O781"/>
  <c r="P781" s="1"/>
  <c r="M781"/>
  <c r="O780"/>
  <c r="P780" s="1"/>
  <c r="M780"/>
  <c r="AC788"/>
  <c r="U788"/>
  <c r="AC782"/>
  <c r="AC778"/>
  <c r="U778"/>
  <c r="AD782"/>
  <c r="O782"/>
  <c r="P782" s="1"/>
  <c r="M782"/>
  <c r="AD776"/>
  <c r="AE776" s="1"/>
  <c r="O776"/>
  <c r="P776" s="1"/>
  <c r="M776"/>
  <c r="AN774"/>
  <c r="AO774" s="1"/>
  <c r="AD774"/>
  <c r="AE774" s="1"/>
  <c r="M774"/>
  <c r="S660"/>
  <c r="M50"/>
  <c r="M48"/>
  <c r="M44"/>
  <c r="M43"/>
  <c r="F44"/>
  <c r="G44" s="1"/>
  <c r="M45"/>
  <c r="F46"/>
  <c r="G46" s="1"/>
  <c r="M47"/>
  <c r="F48"/>
  <c r="G48" s="1"/>
  <c r="M49"/>
  <c r="F50"/>
  <c r="G50" s="1"/>
  <c r="M51"/>
  <c r="F52"/>
  <c r="G52" s="1"/>
  <c r="F54"/>
  <c r="G54" s="1"/>
  <c r="F56"/>
  <c r="G56" s="1"/>
  <c r="F58"/>
  <c r="G58" s="1"/>
  <c r="F60"/>
  <c r="G60" s="1"/>
  <c r="F62"/>
  <c r="G62" s="1"/>
  <c r="K546" l="1"/>
  <c r="H190"/>
  <c r="J190" s="1"/>
  <c r="K190" s="1"/>
  <c r="G191"/>
  <c r="I223"/>
  <c r="K223" s="1"/>
  <c r="I342"/>
  <c r="H119"/>
  <c r="J119" s="1"/>
  <c r="G119"/>
  <c r="H84"/>
  <c r="J84" s="1"/>
  <c r="G84"/>
  <c r="H120"/>
  <c r="J120" s="1"/>
  <c r="G120"/>
  <c r="H115"/>
  <c r="J115" s="1"/>
  <c r="G115"/>
  <c r="H89"/>
  <c r="J89" s="1"/>
  <c r="G89"/>
  <c r="H122"/>
  <c r="J122" s="1"/>
  <c r="G122"/>
  <c r="H90"/>
  <c r="J90" s="1"/>
  <c r="G90"/>
  <c r="H85"/>
  <c r="J85" s="1"/>
  <c r="G85"/>
  <c r="H222"/>
  <c r="H123"/>
  <c r="J123" s="1"/>
  <c r="G123"/>
  <c r="H116"/>
  <c r="J116" s="1"/>
  <c r="G116"/>
  <c r="H92"/>
  <c r="J92" s="1"/>
  <c r="G92"/>
  <c r="H118"/>
  <c r="J118" s="1"/>
  <c r="G118"/>
  <c r="H121"/>
  <c r="J121" s="1"/>
  <c r="G121"/>
  <c r="H117"/>
  <c r="J117" s="1"/>
  <c r="G117"/>
  <c r="H93"/>
  <c r="J93" s="1"/>
  <c r="G93"/>
  <c r="H86"/>
  <c r="J86" s="1"/>
  <c r="G86"/>
  <c r="G114"/>
  <c r="H114"/>
  <c r="J114" s="1"/>
  <c r="H88"/>
  <c r="J88" s="1"/>
  <c r="G88"/>
  <c r="H91"/>
  <c r="J91" s="1"/>
  <c r="G91"/>
  <c r="H87"/>
  <c r="J87" s="1"/>
  <c r="G87"/>
  <c r="G186"/>
  <c r="H218"/>
  <c r="G185"/>
  <c r="G189"/>
  <c r="I334"/>
  <c r="J334"/>
  <c r="I343"/>
  <c r="I339"/>
  <c r="I335"/>
  <c r="I338"/>
  <c r="I340"/>
  <c r="I341"/>
  <c r="I337"/>
  <c r="H184"/>
  <c r="J184" s="1"/>
  <c r="K184" s="1"/>
  <c r="J298"/>
  <c r="G298"/>
  <c r="J301"/>
  <c r="G301"/>
  <c r="H219"/>
  <c r="H471"/>
  <c r="H225"/>
  <c r="J473"/>
  <c r="K473" s="1"/>
  <c r="H220"/>
  <c r="L223"/>
  <c r="M223"/>
  <c r="M219"/>
  <c r="L219"/>
  <c r="L222"/>
  <c r="M222"/>
  <c r="L221"/>
  <c r="M221"/>
  <c r="L217"/>
  <c r="M217"/>
  <c r="M220"/>
  <c r="L220"/>
  <c r="L225"/>
  <c r="M225"/>
  <c r="L218"/>
  <c r="M218"/>
  <c r="K224"/>
  <c r="M224" s="1"/>
  <c r="M216"/>
  <c r="L216"/>
  <c r="H217"/>
  <c r="L188"/>
  <c r="F257" s="1"/>
  <c r="L182"/>
  <c r="F251" s="1"/>
  <c r="L187"/>
  <c r="F256" s="1"/>
  <c r="L183"/>
  <c r="F252" s="1"/>
  <c r="L184"/>
  <c r="F253" s="1"/>
  <c r="L190"/>
  <c r="F259" s="1"/>
  <c r="L186"/>
  <c r="F255" s="1"/>
  <c r="L191"/>
  <c r="F260" s="1"/>
  <c r="L185"/>
  <c r="F254" s="1"/>
  <c r="L189"/>
  <c r="F258" s="1"/>
  <c r="H221"/>
  <c r="H478"/>
  <c r="J479"/>
  <c r="K479" s="1"/>
  <c r="J476"/>
  <c r="K476" s="1"/>
  <c r="H475"/>
  <c r="H480"/>
  <c r="K45"/>
  <c r="K49"/>
  <c r="T653"/>
  <c r="K543"/>
  <c r="N216"/>
  <c r="G251" s="1"/>
  <c r="H159"/>
  <c r="H154"/>
  <c r="H160"/>
  <c r="H156"/>
  <c r="H151"/>
  <c r="H155"/>
  <c r="H157"/>
  <c r="H152"/>
  <c r="H158"/>
  <c r="H153"/>
  <c r="J547"/>
  <c r="K411"/>
  <c r="H472"/>
  <c r="H477"/>
  <c r="K540"/>
  <c r="K420"/>
  <c r="K417"/>
  <c r="K414"/>
  <c r="K416"/>
  <c r="K545"/>
  <c r="K412"/>
  <c r="K419"/>
  <c r="L419"/>
  <c r="K415"/>
  <c r="L415"/>
  <c r="K418"/>
  <c r="H452"/>
  <c r="J452"/>
  <c r="K452" s="1"/>
  <c r="H450"/>
  <c r="J450"/>
  <c r="H448"/>
  <c r="J448"/>
  <c r="K448" s="1"/>
  <c r="H453"/>
  <c r="J453"/>
  <c r="H451"/>
  <c r="J451"/>
  <c r="K451" s="1"/>
  <c r="H449"/>
  <c r="J449"/>
  <c r="K449" s="1"/>
  <c r="H447"/>
  <c r="J447"/>
  <c r="K447" s="1"/>
  <c r="H446"/>
  <c r="J446"/>
  <c r="K446" s="1"/>
  <c r="B547"/>
  <c r="B581"/>
  <c r="B545"/>
  <c r="B579"/>
  <c r="B546"/>
  <c r="B580"/>
  <c r="B549"/>
  <c r="B583"/>
  <c r="B548"/>
  <c r="B582"/>
  <c r="B544"/>
  <c r="B578"/>
  <c r="B540"/>
  <c r="B574"/>
  <c r="B542"/>
  <c r="B576"/>
  <c r="B541"/>
  <c r="B575"/>
  <c r="J444"/>
  <c r="G384"/>
  <c r="H384" s="1"/>
  <c r="K445"/>
  <c r="S385"/>
  <c r="K51"/>
  <c r="K47"/>
  <c r="K43"/>
  <c r="T654"/>
  <c r="G387"/>
  <c r="H387" s="1"/>
  <c r="G388"/>
  <c r="H388" s="1"/>
  <c r="G391"/>
  <c r="H391" s="1"/>
  <c r="G393"/>
  <c r="H393" s="1"/>
  <c r="G386"/>
  <c r="H386" s="1"/>
  <c r="G390"/>
  <c r="H390" s="1"/>
  <c r="G392"/>
  <c r="H392" s="1"/>
  <c r="G385"/>
  <c r="H385" s="1"/>
  <c r="G389"/>
  <c r="H389" s="1"/>
  <c r="S696"/>
  <c r="N46"/>
  <c r="B474" s="1"/>
  <c r="B543"/>
  <c r="Q402"/>
  <c r="Q401"/>
  <c r="Q397"/>
  <c r="Q393"/>
  <c r="Q389"/>
  <c r="Q385"/>
  <c r="Q400"/>
  <c r="Q396"/>
  <c r="Q392"/>
  <c r="Q388"/>
  <c r="Q384"/>
  <c r="Q398"/>
  <c r="Q394"/>
  <c r="Q386"/>
  <c r="Q403"/>
  <c r="Q399"/>
  <c r="Q395"/>
  <c r="Q391"/>
  <c r="Q387"/>
  <c r="Q390"/>
  <c r="I386"/>
  <c r="F542" s="1"/>
  <c r="I390"/>
  <c r="F546" s="1"/>
  <c r="I384"/>
  <c r="F540" s="1"/>
  <c r="I385"/>
  <c r="F541" s="1"/>
  <c r="I389"/>
  <c r="F545" s="1"/>
  <c r="I393"/>
  <c r="F549" s="1"/>
  <c r="I388"/>
  <c r="F544" s="1"/>
  <c r="I392"/>
  <c r="F548" s="1"/>
  <c r="I387"/>
  <c r="F543" s="1"/>
  <c r="I391"/>
  <c r="F547" s="1"/>
  <c r="W778"/>
  <c r="S663"/>
  <c r="W651"/>
  <c r="Z651" s="1"/>
  <c r="W683"/>
  <c r="L618" s="1"/>
  <c r="W652"/>
  <c r="E619" s="1"/>
  <c r="W782"/>
  <c r="T649"/>
  <c r="U649" s="1"/>
  <c r="V649" s="1"/>
  <c r="G616" s="1"/>
  <c r="AH781"/>
  <c r="T651"/>
  <c r="W650"/>
  <c r="E617" s="1"/>
  <c r="J686"/>
  <c r="K686" s="1"/>
  <c r="J683"/>
  <c r="K683" s="1"/>
  <c r="J682"/>
  <c r="K682" s="1"/>
  <c r="T647"/>
  <c r="Z648"/>
  <c r="W647"/>
  <c r="Z647" s="1"/>
  <c r="W680"/>
  <c r="Y680" s="1"/>
  <c r="P615" s="1"/>
  <c r="AH780"/>
  <c r="S686"/>
  <c r="W646"/>
  <c r="E613" s="1"/>
  <c r="T646"/>
  <c r="W655"/>
  <c r="Z655" s="1"/>
  <c r="U679"/>
  <c r="V679" s="1"/>
  <c r="N614" s="1"/>
  <c r="T682"/>
  <c r="J678"/>
  <c r="K678" s="1"/>
  <c r="W681"/>
  <c r="Y681" s="1"/>
  <c r="P616" s="1"/>
  <c r="AR778"/>
  <c r="AI781"/>
  <c r="AR779"/>
  <c r="AG778"/>
  <c r="X679"/>
  <c r="L614"/>
  <c r="B616"/>
  <c r="X653"/>
  <c r="E620"/>
  <c r="X649"/>
  <c r="E616"/>
  <c r="G742"/>
  <c r="H742" s="1"/>
  <c r="Z653"/>
  <c r="Z649"/>
  <c r="W685"/>
  <c r="L620" s="1"/>
  <c r="U684"/>
  <c r="V684" s="1"/>
  <c r="N619" s="1"/>
  <c r="Y653"/>
  <c r="I620" s="1"/>
  <c r="Y649"/>
  <c r="I616" s="1"/>
  <c r="AE778"/>
  <c r="AI780"/>
  <c r="AI778"/>
  <c r="M678"/>
  <c r="M613" s="1"/>
  <c r="K613"/>
  <c r="M680"/>
  <c r="M615" s="1"/>
  <c r="K615"/>
  <c r="M683"/>
  <c r="M618" s="1"/>
  <c r="K618"/>
  <c r="M687"/>
  <c r="M622" s="1"/>
  <c r="K622"/>
  <c r="M679"/>
  <c r="M614" s="1"/>
  <c r="K614"/>
  <c r="M681"/>
  <c r="M616" s="1"/>
  <c r="K616"/>
  <c r="M685"/>
  <c r="M620" s="1"/>
  <c r="K620"/>
  <c r="U655"/>
  <c r="V655" s="1"/>
  <c r="G622" s="1"/>
  <c r="S646"/>
  <c r="S651"/>
  <c r="S654"/>
  <c r="S647"/>
  <c r="U650"/>
  <c r="V650" s="1"/>
  <c r="G617" s="1"/>
  <c r="S648"/>
  <c r="S653"/>
  <c r="S652"/>
  <c r="Z654"/>
  <c r="X654"/>
  <c r="Y648"/>
  <c r="I615" s="1"/>
  <c r="X648"/>
  <c r="O684"/>
  <c r="M684"/>
  <c r="M619" s="1"/>
  <c r="O686"/>
  <c r="M686"/>
  <c r="M621" s="1"/>
  <c r="O682"/>
  <c r="M682"/>
  <c r="M617" s="1"/>
  <c r="N686"/>
  <c r="T685"/>
  <c r="U685" s="1"/>
  <c r="V685" s="1"/>
  <c r="N620" s="1"/>
  <c r="T681"/>
  <c r="U681" s="1"/>
  <c r="V681" s="1"/>
  <c r="N616" s="1"/>
  <c r="T680"/>
  <c r="U680" s="1"/>
  <c r="V680" s="1"/>
  <c r="N615" s="1"/>
  <c r="U678"/>
  <c r="V678" s="1"/>
  <c r="N613" s="1"/>
  <c r="W678"/>
  <c r="Y678" s="1"/>
  <c r="P613" s="1"/>
  <c r="L649"/>
  <c r="M649" s="1"/>
  <c r="H647"/>
  <c r="I649"/>
  <c r="N649" s="1"/>
  <c r="H655"/>
  <c r="H660"/>
  <c r="H659"/>
  <c r="H662"/>
  <c r="N51"/>
  <c r="B479" s="1"/>
  <c r="B621"/>
  <c r="N49"/>
  <c r="B477" s="1"/>
  <c r="B619"/>
  <c r="N47"/>
  <c r="B617"/>
  <c r="N45"/>
  <c r="B473" s="1"/>
  <c r="B615"/>
  <c r="N43"/>
  <c r="B613"/>
  <c r="N50"/>
  <c r="B478" s="1"/>
  <c r="B620"/>
  <c r="N52"/>
  <c r="B622"/>
  <c r="N44"/>
  <c r="B472" s="1"/>
  <c r="B614"/>
  <c r="N48"/>
  <c r="B476" s="1"/>
  <c r="B618"/>
  <c r="S691"/>
  <c r="S692"/>
  <c r="S683"/>
  <c r="S682"/>
  <c r="T687"/>
  <c r="U687" s="1"/>
  <c r="V687" s="1"/>
  <c r="N622" s="1"/>
  <c r="T683"/>
  <c r="T648"/>
  <c r="T652"/>
  <c r="H657"/>
  <c r="AH783"/>
  <c r="AI783"/>
  <c r="AR780"/>
  <c r="W687"/>
  <c r="T686"/>
  <c r="S695"/>
  <c r="W686"/>
  <c r="W684"/>
  <c r="W682"/>
  <c r="L617" s="1"/>
  <c r="AI774"/>
  <c r="Y654"/>
  <c r="I621" s="1"/>
  <c r="N684"/>
  <c r="AR783"/>
  <c r="N682"/>
  <c r="N683"/>
  <c r="O683"/>
  <c r="N687"/>
  <c r="O687"/>
  <c r="AG779"/>
  <c r="AH779"/>
  <c r="N681"/>
  <c r="O681"/>
  <c r="N685"/>
  <c r="O685"/>
  <c r="AG777"/>
  <c r="AI777"/>
  <c r="AH774"/>
  <c r="Y679"/>
  <c r="P614" s="1"/>
  <c r="O680"/>
  <c r="N680"/>
  <c r="N679"/>
  <c r="O679"/>
  <c r="N678"/>
  <c r="O678"/>
  <c r="AH782"/>
  <c r="AG782"/>
  <c r="AI782"/>
  <c r="AR782"/>
  <c r="AQ782"/>
  <c r="AG775"/>
  <c r="AI775"/>
  <c r="AH775"/>
  <c r="AQ775"/>
  <c r="AR775"/>
  <c r="AG776"/>
  <c r="AI776"/>
  <c r="AH776"/>
  <c r="AQ776"/>
  <c r="AR776"/>
  <c r="AE782"/>
  <c r="K50"/>
  <c r="K46"/>
  <c r="K52"/>
  <c r="K48"/>
  <c r="K44"/>
  <c r="L91" l="1"/>
  <c r="K91"/>
  <c r="K88"/>
  <c r="L88"/>
  <c r="L93"/>
  <c r="K93"/>
  <c r="L121"/>
  <c r="K121"/>
  <c r="K118"/>
  <c r="L118"/>
  <c r="L123"/>
  <c r="K123"/>
  <c r="K90"/>
  <c r="L90"/>
  <c r="L120"/>
  <c r="K120"/>
  <c r="K84"/>
  <c r="L84"/>
  <c r="K114"/>
  <c r="L114"/>
  <c r="L87"/>
  <c r="K87"/>
  <c r="K86"/>
  <c r="L86"/>
  <c r="L117"/>
  <c r="K117"/>
  <c r="K92"/>
  <c r="L92"/>
  <c r="L116"/>
  <c r="K116"/>
  <c r="L85"/>
  <c r="K85"/>
  <c r="K122"/>
  <c r="L122"/>
  <c r="L89"/>
  <c r="K89"/>
  <c r="K115"/>
  <c r="L115"/>
  <c r="K119"/>
  <c r="L119"/>
  <c r="L224"/>
  <c r="H251"/>
  <c r="U653"/>
  <c r="V653" s="1"/>
  <c r="G620" s="1"/>
  <c r="J154"/>
  <c r="S387"/>
  <c r="J157"/>
  <c r="J155"/>
  <c r="J160"/>
  <c r="J158"/>
  <c r="J156"/>
  <c r="J153"/>
  <c r="J151"/>
  <c r="J152"/>
  <c r="J159"/>
  <c r="S388"/>
  <c r="S389"/>
  <c r="B453"/>
  <c r="B480"/>
  <c r="B444"/>
  <c r="B471"/>
  <c r="B448"/>
  <c r="B475"/>
  <c r="S386"/>
  <c r="B392"/>
  <c r="B419" s="1"/>
  <c r="B452"/>
  <c r="B385"/>
  <c r="B412" s="1"/>
  <c r="B445"/>
  <c r="B391"/>
  <c r="B418" s="1"/>
  <c r="B451"/>
  <c r="B386"/>
  <c r="B413" s="1"/>
  <c r="B446"/>
  <c r="B390"/>
  <c r="B417" s="1"/>
  <c r="B450"/>
  <c r="B681"/>
  <c r="B447"/>
  <c r="B389"/>
  <c r="B416" s="1"/>
  <c r="B449"/>
  <c r="U686"/>
  <c r="V686" s="1"/>
  <c r="N621" s="1"/>
  <c r="S392"/>
  <c r="S391"/>
  <c r="Y652"/>
  <c r="I619" s="1"/>
  <c r="U654"/>
  <c r="V654" s="1"/>
  <c r="G621" s="1"/>
  <c r="K388"/>
  <c r="N388" s="1"/>
  <c r="K387"/>
  <c r="N387" s="1"/>
  <c r="K391"/>
  <c r="X651"/>
  <c r="K393"/>
  <c r="N393" s="1"/>
  <c r="B745"/>
  <c r="B387"/>
  <c r="K444"/>
  <c r="S384"/>
  <c r="B715"/>
  <c r="L715" s="1"/>
  <c r="M715" s="1"/>
  <c r="N715" s="1"/>
  <c r="K453"/>
  <c r="S393"/>
  <c r="K390"/>
  <c r="K450"/>
  <c r="S390"/>
  <c r="K385"/>
  <c r="N385" s="1"/>
  <c r="K386"/>
  <c r="N386" s="1"/>
  <c r="K392"/>
  <c r="N392" s="1"/>
  <c r="K389"/>
  <c r="N389" s="1"/>
  <c r="B649"/>
  <c r="U651"/>
  <c r="V651" s="1"/>
  <c r="G618" s="1"/>
  <c r="X652"/>
  <c r="Y683"/>
  <c r="P618" s="1"/>
  <c r="Y650"/>
  <c r="I617" s="1"/>
  <c r="X683"/>
  <c r="Z652"/>
  <c r="U682"/>
  <c r="V682" s="1"/>
  <c r="N617" s="1"/>
  <c r="J387"/>
  <c r="G543" s="1"/>
  <c r="O387"/>
  <c r="J388"/>
  <c r="G544" s="1"/>
  <c r="O388"/>
  <c r="J389"/>
  <c r="G545" s="1"/>
  <c r="O389"/>
  <c r="J391"/>
  <c r="G547" s="1"/>
  <c r="O391"/>
  <c r="J392"/>
  <c r="G548" s="1"/>
  <c r="O392"/>
  <c r="O393"/>
  <c r="J393"/>
  <c r="G549" s="1"/>
  <c r="J384"/>
  <c r="G540" s="1"/>
  <c r="O384"/>
  <c r="J386"/>
  <c r="G542" s="1"/>
  <c r="O386"/>
  <c r="J385"/>
  <c r="G541" s="1"/>
  <c r="O385"/>
  <c r="J390"/>
  <c r="G546" s="1"/>
  <c r="O390"/>
  <c r="K384"/>
  <c r="N384" s="1"/>
  <c r="N391"/>
  <c r="N390"/>
  <c r="X650"/>
  <c r="Z683"/>
  <c r="Z650"/>
  <c r="Y651"/>
  <c r="I618" s="1"/>
  <c r="E618"/>
  <c r="Y647"/>
  <c r="I614" s="1"/>
  <c r="E614"/>
  <c r="X655"/>
  <c r="U647"/>
  <c r="V647" s="1"/>
  <c r="G614" s="1"/>
  <c r="X647"/>
  <c r="X680"/>
  <c r="X685"/>
  <c r="Z646"/>
  <c r="Y646"/>
  <c r="I613" s="1"/>
  <c r="Z678"/>
  <c r="X646"/>
  <c r="W390"/>
  <c r="W398"/>
  <c r="B655"/>
  <c r="B393"/>
  <c r="B646"/>
  <c r="B384"/>
  <c r="B682"/>
  <c r="B388"/>
  <c r="U646"/>
  <c r="V646" s="1"/>
  <c r="G613" s="1"/>
  <c r="X403"/>
  <c r="X401"/>
  <c r="W401"/>
  <c r="W393"/>
  <c r="X390"/>
  <c r="X399"/>
  <c r="W391"/>
  <c r="W392"/>
  <c r="X387"/>
  <c r="W386"/>
  <c r="X384"/>
  <c r="X396"/>
  <c r="W384"/>
  <c r="W396"/>
  <c r="X392"/>
  <c r="W387"/>
  <c r="W385"/>
  <c r="Z680"/>
  <c r="Z681"/>
  <c r="L615"/>
  <c r="W403"/>
  <c r="W399"/>
  <c r="W400"/>
  <c r="X400"/>
  <c r="X385"/>
  <c r="W397"/>
  <c r="X393"/>
  <c r="X386"/>
  <c r="X398"/>
  <c r="W394"/>
  <c r="W389"/>
  <c r="X681"/>
  <c r="X395"/>
  <c r="X388"/>
  <c r="W395"/>
  <c r="X391"/>
  <c r="X397"/>
  <c r="W388"/>
  <c r="X402"/>
  <c r="W402"/>
  <c r="X394"/>
  <c r="X389"/>
  <c r="B678"/>
  <c r="Z685"/>
  <c r="Y655"/>
  <c r="I622" s="1"/>
  <c r="Y685"/>
  <c r="P620" s="1"/>
  <c r="E622"/>
  <c r="L616"/>
  <c r="B747"/>
  <c r="B651"/>
  <c r="B746"/>
  <c r="B650"/>
  <c r="B750"/>
  <c r="B654"/>
  <c r="B743"/>
  <c r="B647"/>
  <c r="B749"/>
  <c r="B653"/>
  <c r="B744"/>
  <c r="B648"/>
  <c r="B748"/>
  <c r="B652"/>
  <c r="B679"/>
  <c r="B680"/>
  <c r="B686"/>
  <c r="B683"/>
  <c r="B685"/>
  <c r="B684"/>
  <c r="X686"/>
  <c r="L621"/>
  <c r="X678"/>
  <c r="L613"/>
  <c r="X684"/>
  <c r="L619"/>
  <c r="X687"/>
  <c r="L622"/>
  <c r="B721"/>
  <c r="L721" s="1"/>
  <c r="M721" s="1"/>
  <c r="N721" s="1"/>
  <c r="B751"/>
  <c r="B712"/>
  <c r="B742"/>
  <c r="F651"/>
  <c r="L651" s="1"/>
  <c r="M651" s="1"/>
  <c r="B717"/>
  <c r="L717" s="1"/>
  <c r="M717" s="1"/>
  <c r="N717" s="1"/>
  <c r="F647"/>
  <c r="L647" s="1"/>
  <c r="M647" s="1"/>
  <c r="B713"/>
  <c r="L713" s="1"/>
  <c r="M713" s="1"/>
  <c r="N713" s="1"/>
  <c r="F653"/>
  <c r="H652" s="1"/>
  <c r="B719"/>
  <c r="L719" s="1"/>
  <c r="M719" s="1"/>
  <c r="N719" s="1"/>
  <c r="F646"/>
  <c r="L712"/>
  <c r="M712" s="1"/>
  <c r="N712" s="1"/>
  <c r="F648"/>
  <c r="H646" s="1"/>
  <c r="B714"/>
  <c r="L714" s="1"/>
  <c r="M714" s="1"/>
  <c r="N714" s="1"/>
  <c r="F650"/>
  <c r="L650" s="1"/>
  <c r="M650" s="1"/>
  <c r="B716"/>
  <c r="L716" s="1"/>
  <c r="M716" s="1"/>
  <c r="N716" s="1"/>
  <c r="F652"/>
  <c r="I652" s="1"/>
  <c r="N652" s="1"/>
  <c r="B718"/>
  <c r="L718" s="1"/>
  <c r="M718" s="1"/>
  <c r="N718" s="1"/>
  <c r="F654"/>
  <c r="I654" s="1"/>
  <c r="O654" s="1"/>
  <c r="B720"/>
  <c r="L720" s="1"/>
  <c r="M720" s="1"/>
  <c r="N720" s="1"/>
  <c r="F656"/>
  <c r="F658"/>
  <c r="F660"/>
  <c r="F662"/>
  <c r="F664"/>
  <c r="U652"/>
  <c r="V652" s="1"/>
  <c r="G619" s="1"/>
  <c r="U648"/>
  <c r="V648" s="1"/>
  <c r="G615" s="1"/>
  <c r="Y682"/>
  <c r="P617" s="1"/>
  <c r="X682"/>
  <c r="U683"/>
  <c r="V683" s="1"/>
  <c r="N618" s="1"/>
  <c r="O649"/>
  <c r="F616"/>
  <c r="D616"/>
  <c r="Z684"/>
  <c r="Y684"/>
  <c r="P619" s="1"/>
  <c r="Z687"/>
  <c r="Y687"/>
  <c r="P622" s="1"/>
  <c r="F655"/>
  <c r="B687"/>
  <c r="Z682"/>
  <c r="Z686"/>
  <c r="Y686"/>
  <c r="P621" s="1"/>
  <c r="L151" l="1"/>
  <c r="E251" s="1"/>
  <c r="K151"/>
  <c r="K160"/>
  <c r="L160"/>
  <c r="E260" s="1"/>
  <c r="K157"/>
  <c r="L157"/>
  <c r="E257" s="1"/>
  <c r="K154"/>
  <c r="L154"/>
  <c r="E254" s="1"/>
  <c r="K159"/>
  <c r="L159"/>
  <c r="E259" s="1"/>
  <c r="K156"/>
  <c r="L156"/>
  <c r="E256" s="1"/>
  <c r="L152"/>
  <c r="E252" s="1"/>
  <c r="K152"/>
  <c r="K155"/>
  <c r="L155"/>
  <c r="E255" s="1"/>
  <c r="K153"/>
  <c r="L153"/>
  <c r="E253" s="1"/>
  <c r="K158"/>
  <c r="L158"/>
  <c r="E258" s="1"/>
  <c r="N223"/>
  <c r="G258" s="1"/>
  <c r="H258" s="1"/>
  <c r="N220"/>
  <c r="G255" s="1"/>
  <c r="H255" s="1"/>
  <c r="B411"/>
  <c r="B415"/>
  <c r="B420"/>
  <c r="B414"/>
  <c r="I646"/>
  <c r="N646" s="1"/>
  <c r="R392"/>
  <c r="I548" s="1"/>
  <c r="H548"/>
  <c r="R389"/>
  <c r="I545" s="1"/>
  <c r="H545"/>
  <c r="R393"/>
  <c r="I549" s="1"/>
  <c r="H549"/>
  <c r="R385"/>
  <c r="I541" s="1"/>
  <c r="H541"/>
  <c r="R384"/>
  <c r="I540" s="1"/>
  <c r="H540"/>
  <c r="R387"/>
  <c r="I543" s="1"/>
  <c r="H543"/>
  <c r="R390"/>
  <c r="I546" s="1"/>
  <c r="H546"/>
  <c r="R386"/>
  <c r="I542" s="1"/>
  <c r="H542"/>
  <c r="R391"/>
  <c r="I547" s="1"/>
  <c r="H547"/>
  <c r="R388"/>
  <c r="I544" s="1"/>
  <c r="H544"/>
  <c r="L648"/>
  <c r="M648" s="1"/>
  <c r="F615" s="1"/>
  <c r="H648"/>
  <c r="H653"/>
  <c r="I653"/>
  <c r="N653" s="1"/>
  <c r="H658"/>
  <c r="L652"/>
  <c r="M652" s="1"/>
  <c r="F619" s="1"/>
  <c r="L653"/>
  <c r="M653" s="1"/>
  <c r="F620" s="1"/>
  <c r="H649"/>
  <c r="J649" s="1"/>
  <c r="K649" s="1"/>
  <c r="H663"/>
  <c r="H651"/>
  <c r="I648"/>
  <c r="O648" s="1"/>
  <c r="O615" s="1"/>
  <c r="I651"/>
  <c r="O651" s="1"/>
  <c r="H618" s="1"/>
  <c r="H656"/>
  <c r="H650"/>
  <c r="H665"/>
  <c r="H661"/>
  <c r="I650"/>
  <c r="N650" s="1"/>
  <c r="L646"/>
  <c r="M646" s="1"/>
  <c r="F613" s="1"/>
  <c r="L654"/>
  <c r="M654" s="1"/>
  <c r="F621" s="1"/>
  <c r="H664"/>
  <c r="I647"/>
  <c r="O647" s="1"/>
  <c r="O614" s="1"/>
  <c r="J646"/>
  <c r="K646" s="1"/>
  <c r="O652"/>
  <c r="O619" s="1"/>
  <c r="H621"/>
  <c r="O621"/>
  <c r="H616"/>
  <c r="O616"/>
  <c r="N654"/>
  <c r="J652"/>
  <c r="K652" s="1"/>
  <c r="F617"/>
  <c r="D617"/>
  <c r="O646"/>
  <c r="F614"/>
  <c r="D614"/>
  <c r="F618"/>
  <c r="D618"/>
  <c r="L655"/>
  <c r="M655" s="1"/>
  <c r="I655"/>
  <c r="H654"/>
  <c r="J654" s="1"/>
  <c r="K654" s="1"/>
  <c r="O809"/>
  <c r="O810"/>
  <c r="O811"/>
  <c r="O812"/>
  <c r="O813"/>
  <c r="O814"/>
  <c r="O815"/>
  <c r="O816"/>
  <c r="O817"/>
  <c r="O818"/>
  <c r="O819"/>
  <c r="O820"/>
  <c r="O821"/>
  <c r="O822"/>
  <c r="O823"/>
  <c r="O824"/>
  <c r="O825"/>
  <c r="O826"/>
  <c r="O827"/>
  <c r="O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08"/>
  <c r="C817"/>
  <c r="C816"/>
  <c r="U792"/>
  <c r="AC792"/>
  <c r="U793"/>
  <c r="AC793"/>
  <c r="J815"/>
  <c r="I817"/>
  <c r="C791"/>
  <c r="F791" s="1"/>
  <c r="G791" s="1"/>
  <c r="E791"/>
  <c r="AS791" s="1"/>
  <c r="N791"/>
  <c r="S791"/>
  <c r="U790" s="1"/>
  <c r="AA791"/>
  <c r="AC790" s="1"/>
  <c r="C792"/>
  <c r="F792" s="1"/>
  <c r="E792"/>
  <c r="AS792" s="1"/>
  <c r="N792"/>
  <c r="S792"/>
  <c r="I826" s="1"/>
  <c r="AA792"/>
  <c r="C793"/>
  <c r="F793" s="1"/>
  <c r="G793" s="1"/>
  <c r="E793"/>
  <c r="AS793" s="1"/>
  <c r="N793"/>
  <c r="S793"/>
  <c r="I827" s="1"/>
  <c r="AA793"/>
  <c r="D794"/>
  <c r="N221" l="1"/>
  <c r="G256" s="1"/>
  <c r="H256" s="1"/>
  <c r="N224"/>
  <c r="G259" s="1"/>
  <c r="H259" s="1"/>
  <c r="N219"/>
  <c r="G254" s="1"/>
  <c r="H254" s="1"/>
  <c r="N225"/>
  <c r="G260" s="1"/>
  <c r="H260" s="1"/>
  <c r="N218"/>
  <c r="G253" s="1"/>
  <c r="H253" s="1"/>
  <c r="N222"/>
  <c r="G257" s="1"/>
  <c r="H257" s="1"/>
  <c r="N217"/>
  <c r="G252" s="1"/>
  <c r="D615"/>
  <c r="J653"/>
  <c r="K653" s="1"/>
  <c r="O653"/>
  <c r="H620" s="1"/>
  <c r="D613"/>
  <c r="J648"/>
  <c r="K648" s="1"/>
  <c r="O618"/>
  <c r="N651"/>
  <c r="J651"/>
  <c r="K651" s="1"/>
  <c r="D621"/>
  <c r="H615"/>
  <c r="N648"/>
  <c r="O650"/>
  <c r="O617" s="1"/>
  <c r="D620"/>
  <c r="J650"/>
  <c r="K650" s="1"/>
  <c r="J647"/>
  <c r="K647" s="1"/>
  <c r="D619"/>
  <c r="N647"/>
  <c r="H614"/>
  <c r="H619"/>
  <c r="H613"/>
  <c r="O613"/>
  <c r="F622"/>
  <c r="D622"/>
  <c r="O655"/>
  <c r="N655"/>
  <c r="J655"/>
  <c r="K655" s="1"/>
  <c r="E821"/>
  <c r="H821" s="1"/>
  <c r="E815"/>
  <c r="H815" s="1"/>
  <c r="I823"/>
  <c r="I819"/>
  <c r="I809"/>
  <c r="E823"/>
  <c r="H823" s="1"/>
  <c r="E819"/>
  <c r="H819" s="1"/>
  <c r="E809"/>
  <c r="H809" s="1"/>
  <c r="I821"/>
  <c r="I815"/>
  <c r="D817"/>
  <c r="D816"/>
  <c r="C815"/>
  <c r="D815" s="1"/>
  <c r="C813"/>
  <c r="D813" s="1"/>
  <c r="C811"/>
  <c r="D811" s="1"/>
  <c r="C809"/>
  <c r="D809" s="1"/>
  <c r="E827"/>
  <c r="H827" s="1"/>
  <c r="E825"/>
  <c r="H825" s="1"/>
  <c r="E817"/>
  <c r="H817" s="1"/>
  <c r="E813"/>
  <c r="H813" s="1"/>
  <c r="E811"/>
  <c r="H811" s="1"/>
  <c r="I825"/>
  <c r="I813"/>
  <c r="I811"/>
  <c r="AC791"/>
  <c r="J817"/>
  <c r="J813"/>
  <c r="J811"/>
  <c r="C808"/>
  <c r="D808" s="1"/>
  <c r="C814"/>
  <c r="D814" s="1"/>
  <c r="C812"/>
  <c r="D812" s="1"/>
  <c r="C810"/>
  <c r="D810" s="1"/>
  <c r="E808"/>
  <c r="H808" s="1"/>
  <c r="E826"/>
  <c r="H826" s="1"/>
  <c r="E824"/>
  <c r="H824" s="1"/>
  <c r="E822"/>
  <c r="H822" s="1"/>
  <c r="E820"/>
  <c r="H820" s="1"/>
  <c r="E818"/>
  <c r="H818" s="1"/>
  <c r="E816"/>
  <c r="H816" s="1"/>
  <c r="E814"/>
  <c r="H814" s="1"/>
  <c r="E812"/>
  <c r="H812" s="1"/>
  <c r="E810"/>
  <c r="H810" s="1"/>
  <c r="I808"/>
  <c r="I824"/>
  <c r="I822"/>
  <c r="I820"/>
  <c r="I818"/>
  <c r="I816"/>
  <c r="I814"/>
  <c r="I812"/>
  <c r="I810"/>
  <c r="K817"/>
  <c r="K815"/>
  <c r="K811"/>
  <c r="U791"/>
  <c r="F817"/>
  <c r="J810"/>
  <c r="M817"/>
  <c r="M815"/>
  <c r="M813"/>
  <c r="M811"/>
  <c r="M809"/>
  <c r="M816"/>
  <c r="M814"/>
  <c r="M812"/>
  <c r="M810"/>
  <c r="G792"/>
  <c r="E794"/>
  <c r="F813"/>
  <c r="G817"/>
  <c r="F816"/>
  <c r="J816"/>
  <c r="J814"/>
  <c r="J812"/>
  <c r="J809"/>
  <c r="F808"/>
  <c r="E34"/>
  <c r="D34"/>
  <c r="K32"/>
  <c r="G32"/>
  <c r="F32"/>
  <c r="C32"/>
  <c r="K31"/>
  <c r="B31"/>
  <c r="G31" s="1"/>
  <c r="K30"/>
  <c r="K29"/>
  <c r="K28"/>
  <c r="K27"/>
  <c r="K26"/>
  <c r="K25"/>
  <c r="K24"/>
  <c r="K23"/>
  <c r="K22"/>
  <c r="K21"/>
  <c r="K20"/>
  <c r="AA13" i="20"/>
  <c r="AA12"/>
  <c r="AA14" s="1"/>
  <c r="AB13" i="13"/>
  <c r="AB14"/>
  <c r="AB15"/>
  <c r="AB16"/>
  <c r="AB12"/>
  <c r="AA13" i="12"/>
  <c r="AA14"/>
  <c r="AA15"/>
  <c r="AA16"/>
  <c r="AA17"/>
  <c r="AA18"/>
  <c r="AA19"/>
  <c r="AA20"/>
  <c r="AA21"/>
  <c r="AA22"/>
  <c r="AA12"/>
  <c r="AA13" i="11"/>
  <c r="AA14"/>
  <c r="AA15"/>
  <c r="AA16"/>
  <c r="AA17"/>
  <c r="AA18"/>
  <c r="AA19"/>
  <c r="AA20"/>
  <c r="AA21"/>
  <c r="AA22"/>
  <c r="AA23"/>
  <c r="AA24"/>
  <c r="AA25"/>
  <c r="AA26"/>
  <c r="AA27"/>
  <c r="AA12"/>
  <c r="AA28" s="1"/>
  <c r="AA13" i="10"/>
  <c r="AA14"/>
  <c r="AA15"/>
  <c r="AA16"/>
  <c r="AA17"/>
  <c r="AA18"/>
  <c r="AA19"/>
  <c r="AA20"/>
  <c r="AA21"/>
  <c r="AA22"/>
  <c r="AA23"/>
  <c r="AA24"/>
  <c r="AA25"/>
  <c r="AA26"/>
  <c r="AA27"/>
  <c r="AA12"/>
  <c r="AA28" s="1"/>
  <c r="AA25" i="18"/>
  <c r="AA13"/>
  <c r="AA14"/>
  <c r="AA15"/>
  <c r="AA16"/>
  <c r="AA17"/>
  <c r="AA18"/>
  <c r="AA19"/>
  <c r="AA20"/>
  <c r="AA21"/>
  <c r="AA22"/>
  <c r="AA23"/>
  <c r="AA24"/>
  <c r="AA12"/>
  <c r="AA13" i="9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12"/>
  <c r="AA13" i="17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12"/>
  <c r="AA13" i="8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12"/>
  <c r="AA37" s="1"/>
  <c r="AB13" i="16"/>
  <c r="AB14"/>
  <c r="AB15"/>
  <c r="AB16"/>
  <c r="AB17"/>
  <c r="AB18"/>
  <c r="AB19"/>
  <c r="AB20"/>
  <c r="AB21"/>
  <c r="AB22"/>
  <c r="AB23"/>
  <c r="AB24"/>
  <c r="AB25"/>
  <c r="AB26"/>
  <c r="AB27"/>
  <c r="AB28"/>
  <c r="AB12"/>
  <c r="AB29" s="1"/>
  <c r="AA13" i="7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12"/>
  <c r="AA49" s="1"/>
  <c r="Z54" i="6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12"/>
  <c r="Z42" i="5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12"/>
  <c r="W13" i="13"/>
  <c r="W14" s="1"/>
  <c r="W15" s="1"/>
  <c r="W16" s="1"/>
  <c r="V13" i="12"/>
  <c r="V14" s="1"/>
  <c r="V15" s="1"/>
  <c r="V16" s="1"/>
  <c r="V17" s="1"/>
  <c r="V18" s="1"/>
  <c r="V19" s="1"/>
  <c r="V20" s="1"/>
  <c r="V21" s="1"/>
  <c r="V22" s="1"/>
  <c r="V14" i="1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13" i="10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14" i="9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V14" i="8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V33" s="1"/>
  <c r="V34" s="1"/>
  <c r="V35" s="1"/>
  <c r="V36" s="1"/>
  <c r="V13" i="7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V33" s="1"/>
  <c r="V34" s="1"/>
  <c r="V35" s="1"/>
  <c r="V36" s="1"/>
  <c r="V37" s="1"/>
  <c r="V38" s="1"/>
  <c r="V39" s="1"/>
  <c r="V40" s="1"/>
  <c r="V41" s="1"/>
  <c r="V42" s="1"/>
  <c r="V43" s="1"/>
  <c r="V44" s="1"/>
  <c r="V45" s="1"/>
  <c r="V46" s="1"/>
  <c r="V47" s="1"/>
  <c r="V48" s="1"/>
  <c r="V13" i="15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V33" s="1"/>
  <c r="V34" s="1"/>
  <c r="V35" s="1"/>
  <c r="V36" s="1"/>
  <c r="V37" s="1"/>
  <c r="V38" s="1"/>
  <c r="V39" s="1"/>
  <c r="V40" s="1"/>
  <c r="V41" s="1"/>
  <c r="V42" s="1"/>
  <c r="V43" s="1"/>
  <c r="V44" s="1"/>
  <c r="V45" s="1"/>
  <c r="V46" s="1"/>
  <c r="V47" s="1"/>
  <c r="V48" s="1"/>
  <c r="V13" i="6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V33" s="1"/>
  <c r="V34" s="1"/>
  <c r="V35" s="1"/>
  <c r="V36" s="1"/>
  <c r="V37" s="1"/>
  <c r="V38" s="1"/>
  <c r="V39" s="1"/>
  <c r="V40" s="1"/>
  <c r="V41" s="1"/>
  <c r="V42" s="1"/>
  <c r="V43" s="1"/>
  <c r="V44" s="1"/>
  <c r="V45" s="1"/>
  <c r="V46" s="1"/>
  <c r="V47" s="1"/>
  <c r="V48" s="1"/>
  <c r="V49" s="1"/>
  <c r="V50" s="1"/>
  <c r="V51" s="1"/>
  <c r="V52" s="1"/>
  <c r="V53" s="1"/>
  <c r="W13" i="3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58" s="1"/>
  <c r="W59" s="1"/>
  <c r="W60" s="1"/>
  <c r="W61" s="1"/>
  <c r="W62" s="1"/>
  <c r="W63" s="1"/>
  <c r="W64" s="1"/>
  <c r="W65" s="1"/>
  <c r="A181" i="4"/>
  <c r="A182" s="1"/>
  <c r="A183" s="1"/>
  <c r="A184" s="1"/>
  <c r="A185" s="1"/>
  <c r="A186" s="1"/>
  <c r="A187" s="1"/>
  <c r="A188" s="1"/>
  <c r="A189" s="1"/>
  <c r="A64" i="15"/>
  <c r="A65" s="1"/>
  <c r="A66" s="1"/>
  <c r="A67" s="1"/>
  <c r="A68" s="1"/>
  <c r="A69" s="1"/>
  <c r="A70" s="1"/>
  <c r="A71" s="1"/>
  <c r="A72" s="1"/>
  <c r="A28" i="20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31" i="13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37" i="12"/>
  <c r="A38" s="1"/>
  <c r="A39" s="1"/>
  <c r="A40" s="1"/>
  <c r="A41" s="1"/>
  <c r="A42" s="1"/>
  <c r="A43" s="1"/>
  <c r="A44" s="1"/>
  <c r="A45" s="1"/>
  <c r="A46" s="1"/>
  <c r="A47" s="1"/>
  <c r="A48" s="1"/>
  <c r="A49" s="1"/>
  <c r="A44" i="1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C6"/>
  <c r="E32" s="1"/>
  <c r="C6" i="10"/>
  <c r="E32" s="1"/>
  <c r="E39" s="1"/>
  <c r="A44"/>
  <c r="A45" s="1"/>
  <c r="A46" s="1"/>
  <c r="A47" s="1"/>
  <c r="A48" s="1"/>
  <c r="A49" s="1"/>
  <c r="A50" s="1"/>
  <c r="A51" s="1"/>
  <c r="A52" s="1"/>
  <c r="A41" i="18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48" i="9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46" i="17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52" i="8"/>
  <c r="A53" s="1"/>
  <c r="A54" s="1"/>
  <c r="A55" s="1"/>
  <c r="A56" s="1"/>
  <c r="A57" s="1"/>
  <c r="A58" s="1"/>
  <c r="A59" s="1"/>
  <c r="A60" s="1"/>
  <c r="A61" s="1"/>
  <c r="A62" s="1"/>
  <c r="A63" s="1"/>
  <c r="A64" s="1"/>
  <c r="A44" i="16"/>
  <c r="A45"/>
  <c r="A46" s="1"/>
  <c r="A47" s="1"/>
  <c r="A48" s="1"/>
  <c r="A49" s="1"/>
  <c r="A50" s="1"/>
  <c r="A51" s="1"/>
  <c r="A52" s="1"/>
  <c r="A53" s="1"/>
  <c r="A64" i="7"/>
  <c r="A65" s="1"/>
  <c r="A66" s="1"/>
  <c r="A67" s="1"/>
  <c r="A68" s="1"/>
  <c r="A69" s="1"/>
  <c r="A70" s="1"/>
  <c r="A71" s="1"/>
  <c r="A72" s="1"/>
  <c r="A73" s="1"/>
  <c r="A69" i="6"/>
  <c r="A70" s="1"/>
  <c r="A71" s="1"/>
  <c r="A72" s="1"/>
  <c r="A73" s="1"/>
  <c r="A74" s="1"/>
  <c r="A75" s="1"/>
  <c r="A76" s="1"/>
  <c r="A77" s="1"/>
  <c r="A57" i="5"/>
  <c r="A58"/>
  <c r="A59"/>
  <c r="A60" s="1"/>
  <c r="A61" s="1"/>
  <c r="A62" s="1"/>
  <c r="A63" s="1"/>
  <c r="A64" s="1"/>
  <c r="A65" s="1"/>
  <c r="A56" i="21"/>
  <c r="A57" s="1"/>
  <c r="A58" s="1"/>
  <c r="A59" s="1"/>
  <c r="A60" s="1"/>
  <c r="C35" i="17"/>
  <c r="C42" s="1"/>
  <c r="C18" i="20"/>
  <c r="C25" s="1"/>
  <c r="C54" i="14"/>
  <c r="Z12" i="17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12" i="20"/>
  <c r="Z13"/>
  <c r="C61" i="14"/>
  <c r="BQ22" i="22"/>
  <c r="BQ23" s="1"/>
  <c r="BQ21"/>
  <c r="Z12" i="3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Y12" i="5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Z12" i="10"/>
  <c r="Z13"/>
  <c r="Z14"/>
  <c r="Z15"/>
  <c r="Z16"/>
  <c r="Z17"/>
  <c r="Z18"/>
  <c r="Z19"/>
  <c r="Z20"/>
  <c r="Z21"/>
  <c r="Z22"/>
  <c r="Z23"/>
  <c r="Z24"/>
  <c r="Z25"/>
  <c r="Z26"/>
  <c r="Z27"/>
  <c r="Z12" i="11"/>
  <c r="Z13"/>
  <c r="Z14"/>
  <c r="Z15"/>
  <c r="Z16"/>
  <c r="Z17"/>
  <c r="Z18"/>
  <c r="Z19"/>
  <c r="Z20"/>
  <c r="Z21"/>
  <c r="Z22"/>
  <c r="Z23"/>
  <c r="Z24"/>
  <c r="Z25"/>
  <c r="Z26"/>
  <c r="Z27"/>
  <c r="Z12" i="12"/>
  <c r="Z13"/>
  <c r="Z14"/>
  <c r="Z15"/>
  <c r="Z16"/>
  <c r="Z17"/>
  <c r="Z18"/>
  <c r="Z19"/>
  <c r="Z20"/>
  <c r="Z21"/>
  <c r="Z22"/>
  <c r="AA12" i="13"/>
  <c r="AA13"/>
  <c r="AA14"/>
  <c r="AA15"/>
  <c r="AA16"/>
  <c r="Z12" i="4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C70" i="3"/>
  <c r="C77" s="1"/>
  <c r="C46" i="5"/>
  <c r="C53" s="1"/>
  <c r="C32" i="10"/>
  <c r="C39" s="1"/>
  <c r="C32" i="11"/>
  <c r="C39" s="1"/>
  <c r="C27" i="12"/>
  <c r="C34" s="1"/>
  <c r="C21" i="13"/>
  <c r="C28" s="1"/>
  <c r="C170" i="4"/>
  <c r="C177" s="1"/>
  <c r="C39" i="14"/>
  <c r="C46"/>
  <c r="Q22" i="22"/>
  <c r="Q25" s="1"/>
  <c r="AQ22"/>
  <c r="AQ23" s="1"/>
  <c r="AQ21"/>
  <c r="Y12" i="3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X12" i="5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Y12" i="17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12" i="10"/>
  <c r="Y13"/>
  <c r="Y14"/>
  <c r="Y15"/>
  <c r="Y16"/>
  <c r="Y17"/>
  <c r="Y18"/>
  <c r="Y19"/>
  <c r="Y20"/>
  <c r="Y21"/>
  <c r="Y22"/>
  <c r="Y23"/>
  <c r="Y24"/>
  <c r="Y25"/>
  <c r="Y26"/>
  <c r="Y27"/>
  <c r="Y12" i="11"/>
  <c r="Y13"/>
  <c r="Y14"/>
  <c r="Y15"/>
  <c r="Y16"/>
  <c r="Y17"/>
  <c r="Y18"/>
  <c r="Y19"/>
  <c r="Y20"/>
  <c r="Y21"/>
  <c r="Y22"/>
  <c r="Y23"/>
  <c r="Y24"/>
  <c r="Y25"/>
  <c r="Y26"/>
  <c r="Y27"/>
  <c r="Y12" i="12"/>
  <c r="Y13"/>
  <c r="Y14"/>
  <c r="Y15"/>
  <c r="Y16"/>
  <c r="Y17"/>
  <c r="Y18"/>
  <c r="Y19"/>
  <c r="Y20"/>
  <c r="Y21"/>
  <c r="Y22"/>
  <c r="Y12" i="20"/>
  <c r="Y13"/>
  <c r="Z12" i="13"/>
  <c r="Z13"/>
  <c r="Z14"/>
  <c r="Z15"/>
  <c r="Z16"/>
  <c r="Y12" i="4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K77" i="3"/>
  <c r="K53" i="5"/>
  <c r="K42" i="17"/>
  <c r="K39" i="10"/>
  <c r="K39" i="11"/>
  <c r="K34" i="12"/>
  <c r="K25" i="20"/>
  <c r="K28" i="13"/>
  <c r="K177" i="4"/>
  <c r="C17" i="14"/>
  <c r="C10"/>
  <c r="K76" i="3"/>
  <c r="K52" i="5"/>
  <c r="K41" i="17"/>
  <c r="K38" i="10"/>
  <c r="K38" i="11"/>
  <c r="K33" i="12"/>
  <c r="K24" i="20"/>
  <c r="K27" i="13"/>
  <c r="K176" i="4"/>
  <c r="Q21" i="22"/>
  <c r="Z49" i="15"/>
  <c r="G29" i="23" s="1"/>
  <c r="Y12" i="6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Z12" i="7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12" i="8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12" i="9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12" i="21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AA12" i="16"/>
  <c r="AA13"/>
  <c r="AA14"/>
  <c r="AA15"/>
  <c r="AA16"/>
  <c r="AA17"/>
  <c r="AA18"/>
  <c r="AA19"/>
  <c r="AA20"/>
  <c r="AA21"/>
  <c r="AA22"/>
  <c r="AA23"/>
  <c r="AA24"/>
  <c r="AA25"/>
  <c r="AA26"/>
  <c r="AA27"/>
  <c r="AA28"/>
  <c r="Z12" i="18"/>
  <c r="Z13"/>
  <c r="Z14"/>
  <c r="Z15"/>
  <c r="Z16"/>
  <c r="Z17"/>
  <c r="Z18"/>
  <c r="Z19"/>
  <c r="Z20"/>
  <c r="Z21"/>
  <c r="Z22"/>
  <c r="Z23"/>
  <c r="Z24"/>
  <c r="Z25"/>
  <c r="Z13" i="15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12"/>
  <c r="D14" i="23"/>
  <c r="C14"/>
  <c r="E24"/>
  <c r="E26" s="1"/>
  <c r="Y12" i="21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F24" i="23"/>
  <c r="F26" s="1"/>
  <c r="G24"/>
  <c r="G26" s="1"/>
  <c r="Y49" i="15"/>
  <c r="G27" i="23" s="1"/>
  <c r="H24"/>
  <c r="H26" s="1"/>
  <c r="I24"/>
  <c r="I26" s="1"/>
  <c r="X12" i="6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J24" i="23"/>
  <c r="J26" s="1"/>
  <c r="Y12" i="7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K24" i="23"/>
  <c r="K26" s="1"/>
  <c r="Z12" i="16"/>
  <c r="Z13"/>
  <c r="Z14"/>
  <c r="Z15"/>
  <c r="Z16"/>
  <c r="Z17"/>
  <c r="Z18"/>
  <c r="Z19"/>
  <c r="Z20"/>
  <c r="Z21"/>
  <c r="Z22"/>
  <c r="Z23"/>
  <c r="Z24"/>
  <c r="Z25"/>
  <c r="Z26"/>
  <c r="Z27"/>
  <c r="Z28"/>
  <c r="L24" i="23"/>
  <c r="L26" s="1"/>
  <c r="Y12" i="8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M24" i="23"/>
  <c r="M26" s="1"/>
  <c r="N24"/>
  <c r="N26" s="1"/>
  <c r="Y12" i="9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O24" i="23"/>
  <c r="O26" s="1"/>
  <c r="Y12" i="18"/>
  <c r="P24" i="23"/>
  <c r="P26" s="1"/>
  <c r="Q24"/>
  <c r="Q26" s="1"/>
  <c r="R24"/>
  <c r="R26" s="1"/>
  <c r="S24"/>
  <c r="S26" s="1"/>
  <c r="T24"/>
  <c r="T26" s="1"/>
  <c r="D24"/>
  <c r="D26" s="1"/>
  <c r="F8" i="2"/>
  <c r="F10"/>
  <c r="A16"/>
  <c r="F12"/>
  <c r="H12"/>
  <c r="I12"/>
  <c r="J12"/>
  <c r="K12"/>
  <c r="M12"/>
  <c r="N12"/>
  <c r="O12"/>
  <c r="P12"/>
  <c r="Q12"/>
  <c r="R12"/>
  <c r="S12"/>
  <c r="T12"/>
  <c r="U12"/>
  <c r="V12"/>
  <c r="W12"/>
  <c r="X12"/>
  <c r="G12"/>
  <c r="F11"/>
  <c r="N5" i="16"/>
  <c r="Q23" i="22"/>
  <c r="Y13" i="15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12"/>
  <c r="Y13" i="18"/>
  <c r="Y14"/>
  <c r="Y15"/>
  <c r="Y16"/>
  <c r="Y17"/>
  <c r="Y18"/>
  <c r="Y19"/>
  <c r="Y20"/>
  <c r="Y21"/>
  <c r="Y22"/>
  <c r="Y23"/>
  <c r="Y24"/>
  <c r="Y25"/>
  <c r="BA11" i="22"/>
  <c r="BA12"/>
  <c r="BA13"/>
  <c r="BA14"/>
  <c r="BA15"/>
  <c r="AA11"/>
  <c r="A12"/>
  <c r="AA12"/>
  <c r="A13"/>
  <c r="AA13"/>
  <c r="A14"/>
  <c r="AA14"/>
  <c r="A15"/>
  <c r="AA15"/>
  <c r="A16"/>
  <c r="AA16"/>
  <c r="A17"/>
  <c r="AA17"/>
  <c r="A18"/>
  <c r="A19"/>
  <c r="A20"/>
  <c r="A21"/>
  <c r="A22"/>
  <c r="A23"/>
  <c r="A24"/>
  <c r="A25"/>
  <c r="A26"/>
  <c r="A27"/>
  <c r="A28"/>
  <c r="A29"/>
  <c r="A30"/>
  <c r="A31"/>
  <c r="A32"/>
  <c r="C53" i="14"/>
  <c r="C38"/>
  <c r="C51" i="21"/>
  <c r="C41" i="17"/>
  <c r="C24" i="20"/>
  <c r="C176" i="4"/>
  <c r="C76" i="3"/>
  <c r="C52" i="5"/>
  <c r="C38" i="10"/>
  <c r="C38" i="11"/>
  <c r="C33" i="12"/>
  <c r="C27" i="13"/>
  <c r="C30" i="18"/>
  <c r="C36" s="1"/>
  <c r="C33" i="16"/>
  <c r="C40" s="1"/>
  <c r="C53" i="15"/>
  <c r="C59" s="1"/>
  <c r="K52" i="21"/>
  <c r="K51"/>
  <c r="E18" i="20"/>
  <c r="E25" s="1"/>
  <c r="C6" i="13"/>
  <c r="E21" s="1"/>
  <c r="C6" i="12"/>
  <c r="E27" s="1"/>
  <c r="K37" i="18"/>
  <c r="K36"/>
  <c r="K44" i="9"/>
  <c r="K43"/>
  <c r="E35" i="17"/>
  <c r="E41" s="1"/>
  <c r="K48" i="8"/>
  <c r="K47"/>
  <c r="C6" i="5"/>
  <c r="E46"/>
  <c r="E53" s="1"/>
  <c r="R56" i="15"/>
  <c r="R55"/>
  <c r="R54"/>
  <c r="K60"/>
  <c r="K59"/>
  <c r="K56"/>
  <c r="K55"/>
  <c r="K54"/>
  <c r="E56"/>
  <c r="E55"/>
  <c r="E54"/>
  <c r="C172" i="4"/>
  <c r="C173"/>
  <c r="C6" i="21"/>
  <c r="E45" s="1"/>
  <c r="C47"/>
  <c r="C48"/>
  <c r="C49" s="1"/>
  <c r="C45"/>
  <c r="C52" s="1"/>
  <c r="C72" i="3"/>
  <c r="C73"/>
  <c r="C6"/>
  <c r="E70" s="1"/>
  <c r="K40" i="16"/>
  <c r="K39"/>
  <c r="K60" i="7"/>
  <c r="K59"/>
  <c r="K65" i="6"/>
  <c r="K64"/>
  <c r="K49" i="5"/>
  <c r="K48"/>
  <c r="K47"/>
  <c r="S22" i="21"/>
  <c r="S12"/>
  <c r="S46" s="1"/>
  <c r="S13"/>
  <c r="S14"/>
  <c r="S15"/>
  <c r="S47" s="1"/>
  <c r="S16"/>
  <c r="S17"/>
  <c r="S18"/>
  <c r="S19"/>
  <c r="S20"/>
  <c r="S21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R48"/>
  <c r="R47"/>
  <c r="R50" s="1"/>
  <c r="R46"/>
  <c r="K48"/>
  <c r="K47"/>
  <c r="K46"/>
  <c r="E48"/>
  <c r="E47"/>
  <c r="E46"/>
  <c r="C46"/>
  <c r="K50"/>
  <c r="E50"/>
  <c r="K49"/>
  <c r="E49"/>
  <c r="X40"/>
  <c r="AA40"/>
  <c r="X39"/>
  <c r="AA39"/>
  <c r="X38"/>
  <c r="AA38"/>
  <c r="X37"/>
  <c r="AA37"/>
  <c r="X36"/>
  <c r="AA36"/>
  <c r="X35"/>
  <c r="AA35"/>
  <c r="X34"/>
  <c r="AA34"/>
  <c r="X33"/>
  <c r="AA33"/>
  <c r="X32"/>
  <c r="AA32"/>
  <c r="X31"/>
  <c r="AA31"/>
  <c r="X30"/>
  <c r="AA30"/>
  <c r="X29"/>
  <c r="AA29"/>
  <c r="X28"/>
  <c r="AA28"/>
  <c r="X27"/>
  <c r="AA27"/>
  <c r="X26"/>
  <c r="AA26"/>
  <c r="X25"/>
  <c r="AA25"/>
  <c r="X24"/>
  <c r="AA24"/>
  <c r="X23"/>
  <c r="AA23"/>
  <c r="X22"/>
  <c r="AA22"/>
  <c r="X21"/>
  <c r="AA21"/>
  <c r="X20"/>
  <c r="AA20"/>
  <c r="X19"/>
  <c r="AA19"/>
  <c r="X18"/>
  <c r="AA18"/>
  <c r="X17"/>
  <c r="AA17"/>
  <c r="X16"/>
  <c r="AA16"/>
  <c r="X15"/>
  <c r="AA15"/>
  <c r="X14"/>
  <c r="AA14"/>
  <c r="X13"/>
  <c r="AA13"/>
  <c r="X12"/>
  <c r="AA12"/>
  <c r="AA41" s="1"/>
  <c r="R21" i="20"/>
  <c r="R20"/>
  <c r="R19"/>
  <c r="Q21"/>
  <c r="Q20"/>
  <c r="Q23" s="1"/>
  <c r="Q19"/>
  <c r="K21"/>
  <c r="K20"/>
  <c r="K19"/>
  <c r="E21"/>
  <c r="E22" s="1"/>
  <c r="E20"/>
  <c r="E19"/>
  <c r="C21"/>
  <c r="C20"/>
  <c r="C19"/>
  <c r="S12" i="12"/>
  <c r="S13"/>
  <c r="S14"/>
  <c r="S15"/>
  <c r="S16"/>
  <c r="S17"/>
  <c r="S18"/>
  <c r="S19"/>
  <c r="S20"/>
  <c r="S29" s="1"/>
  <c r="S21"/>
  <c r="S22"/>
  <c r="E30"/>
  <c r="S12" i="11"/>
  <c r="S13"/>
  <c r="S35" s="1"/>
  <c r="S14"/>
  <c r="S15"/>
  <c r="S16"/>
  <c r="S17"/>
  <c r="S18"/>
  <c r="S19"/>
  <c r="S20"/>
  <c r="S21"/>
  <c r="S22"/>
  <c r="S23"/>
  <c r="S24"/>
  <c r="S25"/>
  <c r="S34" s="1"/>
  <c r="S26"/>
  <c r="S27"/>
  <c r="R33"/>
  <c r="C34"/>
  <c r="S12" i="10"/>
  <c r="S13"/>
  <c r="S14"/>
  <c r="S15"/>
  <c r="S16"/>
  <c r="S17"/>
  <c r="S18"/>
  <c r="S19"/>
  <c r="S20"/>
  <c r="S21"/>
  <c r="S22"/>
  <c r="S23"/>
  <c r="S24"/>
  <c r="S25"/>
  <c r="S26"/>
  <c r="S27"/>
  <c r="S33" i="18"/>
  <c r="S32"/>
  <c r="R33"/>
  <c r="R32"/>
  <c r="R34" s="1"/>
  <c r="R31"/>
  <c r="K33"/>
  <c r="K32"/>
  <c r="K31"/>
  <c r="E33"/>
  <c r="E32"/>
  <c r="E31"/>
  <c r="E30"/>
  <c r="E37" s="1"/>
  <c r="C33"/>
  <c r="C32"/>
  <c r="C31"/>
  <c r="C39" i="9"/>
  <c r="C38"/>
  <c r="S38" i="17"/>
  <c r="S37"/>
  <c r="S36"/>
  <c r="R38"/>
  <c r="R37"/>
  <c r="R36"/>
  <c r="K38"/>
  <c r="K37"/>
  <c r="K36"/>
  <c r="E38"/>
  <c r="E37"/>
  <c r="E36"/>
  <c r="C38"/>
  <c r="C37"/>
  <c r="C36"/>
  <c r="R23" i="20"/>
  <c r="K23"/>
  <c r="E23"/>
  <c r="R22"/>
  <c r="K22"/>
  <c r="S35" i="18"/>
  <c r="R35"/>
  <c r="K35"/>
  <c r="S34"/>
  <c r="K34"/>
  <c r="E34"/>
  <c r="S31"/>
  <c r="C44" i="8"/>
  <c r="C43"/>
  <c r="C42"/>
  <c r="S40" i="17"/>
  <c r="R40"/>
  <c r="K40"/>
  <c r="E40"/>
  <c r="S39"/>
  <c r="R39"/>
  <c r="K39"/>
  <c r="E39"/>
  <c r="T36" i="16"/>
  <c r="T35"/>
  <c r="T37" s="1"/>
  <c r="S36"/>
  <c r="S35"/>
  <c r="S34"/>
  <c r="K36"/>
  <c r="K35"/>
  <c r="C36"/>
  <c r="C35"/>
  <c r="C34"/>
  <c r="K34"/>
  <c r="E36"/>
  <c r="E35"/>
  <c r="E34"/>
  <c r="E33"/>
  <c r="E39" s="1"/>
  <c r="T38"/>
  <c r="S38"/>
  <c r="K38"/>
  <c r="S37"/>
  <c r="K37"/>
  <c r="T34"/>
  <c r="R54" i="7"/>
  <c r="K56"/>
  <c r="K55"/>
  <c r="K54"/>
  <c r="E56"/>
  <c r="E55"/>
  <c r="E54"/>
  <c r="C56" i="15"/>
  <c r="C55"/>
  <c r="C54"/>
  <c r="R58"/>
  <c r="K58"/>
  <c r="E58"/>
  <c r="R57"/>
  <c r="K57"/>
  <c r="E57"/>
  <c r="C6" i="4"/>
  <c r="E170" s="1"/>
  <c r="C6" i="15"/>
  <c r="E53" s="1"/>
  <c r="E60" s="1"/>
  <c r="W48"/>
  <c r="S48"/>
  <c r="AA48"/>
  <c r="A13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W47"/>
  <c r="S47"/>
  <c r="AA47"/>
  <c r="W46"/>
  <c r="S46"/>
  <c r="AA46"/>
  <c r="W45"/>
  <c r="S45"/>
  <c r="AA45"/>
  <c r="W44"/>
  <c r="S44"/>
  <c r="AA44"/>
  <c r="W43"/>
  <c r="S43"/>
  <c r="AA43"/>
  <c r="W42"/>
  <c r="S42"/>
  <c r="AA42"/>
  <c r="W41"/>
  <c r="S41"/>
  <c r="AA41"/>
  <c r="W40"/>
  <c r="S40"/>
  <c r="AA40"/>
  <c r="W39"/>
  <c r="S39"/>
  <c r="AA39"/>
  <c r="W38"/>
  <c r="S38"/>
  <c r="AA38"/>
  <c r="W37"/>
  <c r="S37"/>
  <c r="AA37"/>
  <c r="W36"/>
  <c r="S36"/>
  <c r="AA36"/>
  <c r="W35"/>
  <c r="S35"/>
  <c r="AA35"/>
  <c r="W34"/>
  <c r="S34"/>
  <c r="AA34"/>
  <c r="W33"/>
  <c r="S33"/>
  <c r="AA33"/>
  <c r="W32"/>
  <c r="S32"/>
  <c r="AA32"/>
  <c r="W31"/>
  <c r="S31"/>
  <c r="AA31"/>
  <c r="W30"/>
  <c r="S30"/>
  <c r="AA30"/>
  <c r="W29"/>
  <c r="S29"/>
  <c r="AA29"/>
  <c r="W28"/>
  <c r="S28"/>
  <c r="AA28"/>
  <c r="W27"/>
  <c r="S27"/>
  <c r="AA27"/>
  <c r="W26"/>
  <c r="S26"/>
  <c r="AA26"/>
  <c r="W25"/>
  <c r="S25"/>
  <c r="AA25"/>
  <c r="W24"/>
  <c r="S24"/>
  <c r="AA24"/>
  <c r="W23"/>
  <c r="S23"/>
  <c r="AA23"/>
  <c r="W22"/>
  <c r="S22"/>
  <c r="AA22"/>
  <c r="W21"/>
  <c r="S21"/>
  <c r="AA21"/>
  <c r="W20"/>
  <c r="S20"/>
  <c r="AA20"/>
  <c r="W19"/>
  <c r="S19"/>
  <c r="AA19"/>
  <c r="W18"/>
  <c r="S18"/>
  <c r="AA18"/>
  <c r="W17"/>
  <c r="S17"/>
  <c r="AA17"/>
  <c r="W16"/>
  <c r="S16"/>
  <c r="AA16"/>
  <c r="W15"/>
  <c r="S15"/>
  <c r="AA15"/>
  <c r="W14"/>
  <c r="S14"/>
  <c r="AA14"/>
  <c r="W13"/>
  <c r="S13"/>
  <c r="AA13"/>
  <c r="W12"/>
  <c r="S12"/>
  <c r="AA12"/>
  <c r="AA49" s="1"/>
  <c r="W12" i="4"/>
  <c r="S12"/>
  <c r="AA12"/>
  <c r="S12" i="3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R73"/>
  <c r="R72"/>
  <c r="R71"/>
  <c r="K73"/>
  <c r="K72"/>
  <c r="K71"/>
  <c r="E73"/>
  <c r="E72"/>
  <c r="E71"/>
  <c r="C71"/>
  <c r="R74"/>
  <c r="S116" i="4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R173"/>
  <c r="R172"/>
  <c r="R171"/>
  <c r="K173"/>
  <c r="K172"/>
  <c r="K171"/>
  <c r="E173"/>
  <c r="E174" s="1"/>
  <c r="E172"/>
  <c r="E171"/>
  <c r="C171"/>
  <c r="R175"/>
  <c r="R174"/>
  <c r="S12" i="5"/>
  <c r="S13"/>
  <c r="S48" s="1"/>
  <c r="S14"/>
  <c r="S15"/>
  <c r="S16"/>
  <c r="S17"/>
  <c r="S18"/>
  <c r="S49" s="1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R49"/>
  <c r="R48"/>
  <c r="R51" s="1"/>
  <c r="R47"/>
  <c r="E49"/>
  <c r="E48"/>
  <c r="E47"/>
  <c r="C49"/>
  <c r="C48"/>
  <c r="C47"/>
  <c r="K51"/>
  <c r="E51"/>
  <c r="K50"/>
  <c r="E50"/>
  <c r="S53" i="6"/>
  <c r="R61"/>
  <c r="R60"/>
  <c r="R59"/>
  <c r="K61"/>
  <c r="K60"/>
  <c r="K59"/>
  <c r="E61"/>
  <c r="E63" s="1"/>
  <c r="E60"/>
  <c r="E59"/>
  <c r="C61"/>
  <c r="C60"/>
  <c r="C59"/>
  <c r="R63"/>
  <c r="K63"/>
  <c r="R62"/>
  <c r="K62"/>
  <c r="C58"/>
  <c r="C64" s="1"/>
  <c r="R55" i="7"/>
  <c r="R57" s="1"/>
  <c r="R56"/>
  <c r="C56"/>
  <c r="C55"/>
  <c r="C54"/>
  <c r="C6"/>
  <c r="E53"/>
  <c r="E59" s="1"/>
  <c r="S22"/>
  <c r="S55" s="1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C53"/>
  <c r="C59" s="1"/>
  <c r="S12" i="8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R44"/>
  <c r="R43"/>
  <c r="R42"/>
  <c r="K44"/>
  <c r="K43"/>
  <c r="K42"/>
  <c r="E44"/>
  <c r="E43"/>
  <c r="E42"/>
  <c r="C6"/>
  <c r="E41"/>
  <c r="E48" s="1"/>
  <c r="R46"/>
  <c r="R45"/>
  <c r="K45"/>
  <c r="C41"/>
  <c r="C47" s="1"/>
  <c r="X13" i="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12"/>
  <c r="X141" i="4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W13" i="5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12"/>
  <c r="W42" s="1"/>
  <c r="W19" i="6"/>
  <c r="W27"/>
  <c r="W35"/>
  <c r="W43"/>
  <c r="W51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12"/>
  <c r="C6"/>
  <c r="W13" s="1"/>
  <c r="X13" i="7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12"/>
  <c r="S13"/>
  <c r="S14"/>
  <c r="S15"/>
  <c r="S16"/>
  <c r="S17"/>
  <c r="S18"/>
  <c r="S19"/>
  <c r="S20"/>
  <c r="S21"/>
  <c r="S12"/>
  <c r="X36" i="8"/>
  <c r="X24"/>
  <c r="X25"/>
  <c r="X26"/>
  <c r="X27"/>
  <c r="X28"/>
  <c r="X29"/>
  <c r="X30"/>
  <c r="X31"/>
  <c r="X32"/>
  <c r="X33"/>
  <c r="X34"/>
  <c r="X35"/>
  <c r="X13"/>
  <c r="X14"/>
  <c r="X15"/>
  <c r="X16"/>
  <c r="X17"/>
  <c r="X18"/>
  <c r="X19"/>
  <c r="X20"/>
  <c r="X21"/>
  <c r="X22"/>
  <c r="X23"/>
  <c r="X12"/>
  <c r="Y13" i="13"/>
  <c r="Y14"/>
  <c r="Y15"/>
  <c r="Y16"/>
  <c r="Y12"/>
  <c r="X13" i="12"/>
  <c r="X14"/>
  <c r="X15"/>
  <c r="X16"/>
  <c r="X17"/>
  <c r="X18"/>
  <c r="X19"/>
  <c r="X20"/>
  <c r="X21"/>
  <c r="X22"/>
  <c r="X12"/>
  <c r="X13" i="11"/>
  <c r="X14"/>
  <c r="X15"/>
  <c r="X16"/>
  <c r="X17"/>
  <c r="X18"/>
  <c r="X19"/>
  <c r="X20"/>
  <c r="X21"/>
  <c r="X22"/>
  <c r="X23"/>
  <c r="X24"/>
  <c r="X25"/>
  <c r="X26"/>
  <c r="X27"/>
  <c r="X12"/>
  <c r="X13" i="10"/>
  <c r="X14"/>
  <c r="X15"/>
  <c r="X16"/>
  <c r="X17"/>
  <c r="X18"/>
  <c r="X19"/>
  <c r="X20"/>
  <c r="X21"/>
  <c r="X22"/>
  <c r="X23"/>
  <c r="X24"/>
  <c r="X25"/>
  <c r="X26"/>
  <c r="X27"/>
  <c r="X12"/>
  <c r="C6" i="9"/>
  <c r="E37" s="1"/>
  <c r="X15"/>
  <c r="X16"/>
  <c r="X17"/>
  <c r="X20"/>
  <c r="X21"/>
  <c r="X23"/>
  <c r="X25"/>
  <c r="X27"/>
  <c r="X28"/>
  <c r="X31"/>
  <c r="X32"/>
  <c r="X12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R40"/>
  <c r="R39"/>
  <c r="R38"/>
  <c r="K40"/>
  <c r="K39"/>
  <c r="K38"/>
  <c r="E40"/>
  <c r="E41" s="1"/>
  <c r="E39"/>
  <c r="E38"/>
  <c r="C40"/>
  <c r="R42"/>
  <c r="R41"/>
  <c r="K41"/>
  <c r="C37"/>
  <c r="C43" s="1"/>
  <c r="R34" i="10"/>
  <c r="K35"/>
  <c r="K34"/>
  <c r="E34"/>
  <c r="C34"/>
  <c r="C33"/>
  <c r="R35"/>
  <c r="R37" s="1"/>
  <c r="E35"/>
  <c r="E36" s="1"/>
  <c r="R36"/>
  <c r="C35"/>
  <c r="R33"/>
  <c r="K33"/>
  <c r="E33"/>
  <c r="S33" i="11"/>
  <c r="R35"/>
  <c r="R34"/>
  <c r="R37" s="1"/>
  <c r="K35"/>
  <c r="K34"/>
  <c r="K37" s="1"/>
  <c r="K33"/>
  <c r="E35"/>
  <c r="E37" s="1"/>
  <c r="E34"/>
  <c r="E33"/>
  <c r="C33"/>
  <c r="K36"/>
  <c r="R36"/>
  <c r="C35"/>
  <c r="R29" i="12"/>
  <c r="R28"/>
  <c r="K30"/>
  <c r="K29"/>
  <c r="K28"/>
  <c r="E29"/>
  <c r="E28"/>
  <c r="C30"/>
  <c r="C29"/>
  <c r="C28"/>
  <c r="K32"/>
  <c r="E31"/>
  <c r="R24" i="13"/>
  <c r="R25" s="1"/>
  <c r="R23"/>
  <c r="K23"/>
  <c r="K25" s="1"/>
  <c r="K24"/>
  <c r="E23"/>
  <c r="E24"/>
  <c r="K22"/>
  <c r="E22"/>
  <c r="C22"/>
  <c r="S12"/>
  <c r="S13"/>
  <c r="S14"/>
  <c r="S24" s="1"/>
  <c r="S15"/>
  <c r="S16"/>
  <c r="C24"/>
  <c r="C23"/>
  <c r="A13" i="6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A13" i="4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AA165"/>
  <c r="AA12" i="3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13" i="13"/>
  <c r="A14" s="1"/>
  <c r="A15" s="1"/>
  <c r="A16" s="1"/>
  <c r="A13" i="12"/>
  <c r="A14" s="1"/>
  <c r="A15" s="1"/>
  <c r="A16" s="1"/>
  <c r="A17" s="1"/>
  <c r="A18" s="1"/>
  <c r="A19" s="1"/>
  <c r="A20" s="1"/>
  <c r="A21" s="1"/>
  <c r="A22" s="1"/>
  <c r="A14" i="11"/>
  <c r="A15"/>
  <c r="A16" s="1"/>
  <c r="A17" s="1"/>
  <c r="A18" s="1"/>
  <c r="A19" s="1"/>
  <c r="A20" s="1"/>
  <c r="A21" s="1"/>
  <c r="A22" s="1"/>
  <c r="A23" s="1"/>
  <c r="A24" s="1"/>
  <c r="A25" s="1"/>
  <c r="A26" s="1"/>
  <c r="A27" s="1"/>
  <c r="A13" i="10"/>
  <c r="A14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14" i="9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14" i="8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13" i="7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W165" i="4"/>
  <c r="W164"/>
  <c r="W163"/>
  <c r="W162"/>
  <c r="W161"/>
  <c r="W160"/>
  <c r="W159"/>
  <c r="W158"/>
  <c r="W157"/>
  <c r="W156"/>
  <c r="W155"/>
  <c r="W154"/>
  <c r="W153"/>
  <c r="W152"/>
  <c r="W151"/>
  <c r="W150"/>
  <c r="W149"/>
  <c r="W148"/>
  <c r="W147"/>
  <c r="W146"/>
  <c r="W145"/>
  <c r="W144"/>
  <c r="W143"/>
  <c r="W142"/>
  <c r="W141"/>
  <c r="W140"/>
  <c r="W139"/>
  <c r="W138"/>
  <c r="W137"/>
  <c r="W136"/>
  <c r="W135"/>
  <c r="W134"/>
  <c r="W133"/>
  <c r="W132"/>
  <c r="W131"/>
  <c r="W130"/>
  <c r="W129"/>
  <c r="W128"/>
  <c r="W127"/>
  <c r="W126"/>
  <c r="W125"/>
  <c r="W124"/>
  <c r="W123"/>
  <c r="W122"/>
  <c r="W121"/>
  <c r="W120"/>
  <c r="W119"/>
  <c r="W118"/>
  <c r="W117"/>
  <c r="W116"/>
  <c r="W115"/>
  <c r="W114"/>
  <c r="W113"/>
  <c r="W112"/>
  <c r="W111"/>
  <c r="W110"/>
  <c r="W109"/>
  <c r="W108"/>
  <c r="W107"/>
  <c r="W106"/>
  <c r="W105"/>
  <c r="W104"/>
  <c r="W103"/>
  <c r="W102"/>
  <c r="W101"/>
  <c r="W100"/>
  <c r="W99"/>
  <c r="W98"/>
  <c r="W97"/>
  <c r="W96"/>
  <c r="W95"/>
  <c r="W94"/>
  <c r="W93"/>
  <c r="W92"/>
  <c r="W91"/>
  <c r="W90"/>
  <c r="W89"/>
  <c r="W88"/>
  <c r="W87"/>
  <c r="W86"/>
  <c r="W85"/>
  <c r="W84"/>
  <c r="W83"/>
  <c r="W82"/>
  <c r="W81"/>
  <c r="W80"/>
  <c r="W79"/>
  <c r="W78"/>
  <c r="W77"/>
  <c r="W76"/>
  <c r="W75"/>
  <c r="W74"/>
  <c r="W73"/>
  <c r="W72"/>
  <c r="W71"/>
  <c r="W70"/>
  <c r="W69"/>
  <c r="W68"/>
  <c r="W67"/>
  <c r="W66"/>
  <c r="W65"/>
  <c r="W64"/>
  <c r="W63"/>
  <c r="W62"/>
  <c r="W61"/>
  <c r="W60"/>
  <c r="W59"/>
  <c r="W58"/>
  <c r="W57"/>
  <c r="W56"/>
  <c r="W55"/>
  <c r="W54"/>
  <c r="W53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E58" i="7"/>
  <c r="E57"/>
  <c r="K57"/>
  <c r="K58"/>
  <c r="E38" i="16"/>
  <c r="E37"/>
  <c r="J62" i="25" l="1"/>
  <c r="J793"/>
  <c r="E24" i="20"/>
  <c r="E25" i="13"/>
  <c r="J61" i="25"/>
  <c r="J792"/>
  <c r="S23" i="13"/>
  <c r="AB17"/>
  <c r="J60" i="25"/>
  <c r="J791"/>
  <c r="R30" i="12"/>
  <c r="S28"/>
  <c r="E32"/>
  <c r="K31"/>
  <c r="AA23"/>
  <c r="S37" i="11"/>
  <c r="E36"/>
  <c r="J59" i="25"/>
  <c r="J790"/>
  <c r="S34" i="10"/>
  <c r="K37"/>
  <c r="E37"/>
  <c r="J58" i="25"/>
  <c r="J789"/>
  <c r="S35" i="10"/>
  <c r="S36" s="1"/>
  <c r="E36" i="18"/>
  <c r="C37"/>
  <c r="Y26"/>
  <c r="O27" i="23" s="1"/>
  <c r="E35" i="18"/>
  <c r="J788" i="25"/>
  <c r="J57"/>
  <c r="AA26" i="18"/>
  <c r="K42" i="9"/>
  <c r="J56" i="25"/>
  <c r="J787"/>
  <c r="E45" i="8"/>
  <c r="J785" i="25"/>
  <c r="J54"/>
  <c r="K46" i="8"/>
  <c r="S43"/>
  <c r="S44"/>
  <c r="S45" s="1"/>
  <c r="AA31" i="17"/>
  <c r="J55" i="25"/>
  <c r="J786"/>
  <c r="J784"/>
  <c r="J53"/>
  <c r="C39" i="16"/>
  <c r="E40"/>
  <c r="Z14" i="20"/>
  <c r="T29" i="23" s="1"/>
  <c r="Z41" i="21"/>
  <c r="E29" i="23" s="1"/>
  <c r="AA29" i="16"/>
  <c r="K29" i="23" s="1"/>
  <c r="Z29" i="16"/>
  <c r="K27" i="23" s="1"/>
  <c r="K28" s="1"/>
  <c r="Z49" i="7"/>
  <c r="J29" i="23" s="1"/>
  <c r="Y49" i="7"/>
  <c r="J27" i="23" s="1"/>
  <c r="J28" s="1"/>
  <c r="C62" i="14"/>
  <c r="Z37" i="8"/>
  <c r="L29" i="23" s="1"/>
  <c r="AA17" i="13"/>
  <c r="S29" i="23" s="1"/>
  <c r="H252" i="25"/>
  <c r="O620"/>
  <c r="H617"/>
  <c r="B30"/>
  <c r="G30" s="1"/>
  <c r="H622"/>
  <c r="O622"/>
  <c r="K813"/>
  <c r="M808"/>
  <c r="K810"/>
  <c r="G813"/>
  <c r="N812"/>
  <c r="N809"/>
  <c r="N817"/>
  <c r="N811"/>
  <c r="N814"/>
  <c r="N810"/>
  <c r="N816"/>
  <c r="N808"/>
  <c r="N815"/>
  <c r="N813"/>
  <c r="L812"/>
  <c r="L816"/>
  <c r="L808"/>
  <c r="L811"/>
  <c r="L815"/>
  <c r="K808"/>
  <c r="J808"/>
  <c r="L810"/>
  <c r="L814"/>
  <c r="L809"/>
  <c r="L813"/>
  <c r="L817"/>
  <c r="G810"/>
  <c r="F810"/>
  <c r="G811"/>
  <c r="F811"/>
  <c r="G812"/>
  <c r="F812"/>
  <c r="G809"/>
  <c r="F809"/>
  <c r="G815"/>
  <c r="F815"/>
  <c r="G814"/>
  <c r="F814"/>
  <c r="C18" i="14"/>
  <c r="Y28" i="11"/>
  <c r="Q27" i="23" s="1"/>
  <c r="Q28" s="1"/>
  <c r="C47" i="14"/>
  <c r="Y23" i="12"/>
  <c r="R27" i="23" s="1"/>
  <c r="K812" i="25"/>
  <c r="K816"/>
  <c r="K809"/>
  <c r="K814"/>
  <c r="G816"/>
  <c r="G808"/>
  <c r="Y37" i="8"/>
  <c r="L27" i="23" s="1"/>
  <c r="L28" s="1"/>
  <c r="Y31" i="17"/>
  <c r="M27" i="23" s="1"/>
  <c r="M28" s="1"/>
  <c r="Y41" i="21"/>
  <c r="E27" i="23" s="1"/>
  <c r="E28" s="1"/>
  <c r="E30" s="1"/>
  <c r="O28"/>
  <c r="Z26" i="18"/>
  <c r="O29" i="23" s="1"/>
  <c r="Y14" i="20"/>
  <c r="T27" i="23" s="1"/>
  <c r="T28" s="1"/>
  <c r="T30" s="1"/>
  <c r="X42" i="5"/>
  <c r="H27" i="23" s="1"/>
  <c r="H28" s="1"/>
  <c r="Z23" i="12"/>
  <c r="R29" i="23" s="1"/>
  <c r="Z28" i="10"/>
  <c r="P29" i="23" s="1"/>
  <c r="G28"/>
  <c r="R28"/>
  <c r="Y28" i="10"/>
  <c r="P27" i="23" s="1"/>
  <c r="P28" s="1"/>
  <c r="Z28" i="11"/>
  <c r="Q29" i="23" s="1"/>
  <c r="Y42" i="5"/>
  <c r="H29" i="23" s="1"/>
  <c r="Z31" i="17"/>
  <c r="M29" i="23" s="1"/>
  <c r="H32" i="25"/>
  <c r="I32" s="1"/>
  <c r="F31"/>
  <c r="L32"/>
  <c r="C31"/>
  <c r="Q22" i="20"/>
  <c r="E28" i="13"/>
  <c r="E27"/>
  <c r="Z17"/>
  <c r="S27" i="23" s="1"/>
  <c r="S28" s="1"/>
  <c r="E26" i="13"/>
  <c r="K26"/>
  <c r="R26"/>
  <c r="S30" i="12"/>
  <c r="S31"/>
  <c r="E33"/>
  <c r="E34"/>
  <c r="R31"/>
  <c r="S36" i="11"/>
  <c r="E39"/>
  <c r="E38"/>
  <c r="K36" i="10"/>
  <c r="E38"/>
  <c r="S33"/>
  <c r="X29" i="9"/>
  <c r="X24"/>
  <c r="X19"/>
  <c r="X13"/>
  <c r="AA33"/>
  <c r="S38"/>
  <c r="S40"/>
  <c r="S41" s="1"/>
  <c r="S42" s="1"/>
  <c r="S39"/>
  <c r="Y33"/>
  <c r="N27" i="23" s="1"/>
  <c r="N28" s="1"/>
  <c r="Z33" i="9"/>
  <c r="N29" i="23" s="1"/>
  <c r="E43" i="9"/>
  <c r="E44"/>
  <c r="E42"/>
  <c r="X30"/>
  <c r="X26"/>
  <c r="X22"/>
  <c r="X18"/>
  <c r="X14"/>
  <c r="C44"/>
  <c r="C12" i="14"/>
  <c r="C14" s="1"/>
  <c r="E42" i="17"/>
  <c r="C56" i="14"/>
  <c r="C58" s="1"/>
  <c r="S46" i="8"/>
  <c r="S42"/>
  <c r="E46"/>
  <c r="E47"/>
  <c r="C48"/>
  <c r="R58" i="7"/>
  <c r="C41" i="14"/>
  <c r="C43" s="1"/>
  <c r="S54" i="7"/>
  <c r="C60"/>
  <c r="E60"/>
  <c r="S56"/>
  <c r="S58" s="1"/>
  <c r="E62" i="6"/>
  <c r="W12"/>
  <c r="W46"/>
  <c r="W38"/>
  <c r="W30"/>
  <c r="W22"/>
  <c r="W14"/>
  <c r="X54"/>
  <c r="Y54"/>
  <c r="I29" i="23" s="1"/>
  <c r="S59" i="6"/>
  <c r="W47"/>
  <c r="W39"/>
  <c r="W31"/>
  <c r="W23"/>
  <c r="W15"/>
  <c r="W50"/>
  <c r="W42"/>
  <c r="W34"/>
  <c r="W26"/>
  <c r="W18"/>
  <c r="E58"/>
  <c r="E64" s="1"/>
  <c r="S50" i="5"/>
  <c r="S51"/>
  <c r="S47"/>
  <c r="E52"/>
  <c r="R50"/>
  <c r="C60" i="15"/>
  <c r="Z166" i="4"/>
  <c r="F29" i="23" s="1"/>
  <c r="K175" i="4"/>
  <c r="X12" i="15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AA166" i="4"/>
  <c r="E175"/>
  <c r="E177"/>
  <c r="E176"/>
  <c r="C175"/>
  <c r="K174"/>
  <c r="G30" i="23"/>
  <c r="X166" i="4"/>
  <c r="S173"/>
  <c r="S171"/>
  <c r="S172"/>
  <c r="X48" i="15"/>
  <c r="C174" i="4"/>
  <c r="S56" i="15"/>
  <c r="Y166" i="4"/>
  <c r="F27" i="23" s="1"/>
  <c r="F28" s="1"/>
  <c r="F30" s="1"/>
  <c r="E52" i="21"/>
  <c r="E51"/>
  <c r="R49"/>
  <c r="C13" i="14"/>
  <c r="C15" s="1"/>
  <c r="C19" s="1"/>
  <c r="S48" i="21"/>
  <c r="S49" s="1"/>
  <c r="C50"/>
  <c r="C57" i="14"/>
  <c r="C59" s="1"/>
  <c r="C63" s="1"/>
  <c r="K75" i="3"/>
  <c r="E75"/>
  <c r="S73"/>
  <c r="R75"/>
  <c r="S72"/>
  <c r="Y66"/>
  <c r="D27" i="23" s="1"/>
  <c r="D28" s="1"/>
  <c r="K74" i="3"/>
  <c r="AA66"/>
  <c r="C74"/>
  <c r="S71"/>
  <c r="C57" i="15"/>
  <c r="S55"/>
  <c r="E59"/>
  <c r="S54"/>
  <c r="C58"/>
  <c r="E76" i="3"/>
  <c r="E77"/>
  <c r="C75"/>
  <c r="Z66"/>
  <c r="D29" i="23" s="1"/>
  <c r="E74" i="3"/>
  <c r="S30" i="23"/>
  <c r="I28"/>
  <c r="S61" i="6"/>
  <c r="S60"/>
  <c r="C65"/>
  <c r="W52"/>
  <c r="W48"/>
  <c r="W44"/>
  <c r="W40"/>
  <c r="W36"/>
  <c r="W32"/>
  <c r="W28"/>
  <c r="W24"/>
  <c r="W20"/>
  <c r="W16"/>
  <c r="W53"/>
  <c r="W49"/>
  <c r="W45"/>
  <c r="W41"/>
  <c r="W37"/>
  <c r="W33"/>
  <c r="W29"/>
  <c r="W25"/>
  <c r="W21"/>
  <c r="W17"/>
  <c r="E65"/>
  <c r="D30" i="23" l="1"/>
  <c r="F317" i="25"/>
  <c r="G317" s="1"/>
  <c r="M62"/>
  <c r="I697"/>
  <c r="J697" s="1"/>
  <c r="K697" s="1"/>
  <c r="F103"/>
  <c r="F353"/>
  <c r="H353" s="1"/>
  <c r="G235"/>
  <c r="F170"/>
  <c r="M761"/>
  <c r="N761" s="1"/>
  <c r="F133"/>
  <c r="F201"/>
  <c r="G490"/>
  <c r="G463"/>
  <c r="E559"/>
  <c r="L697"/>
  <c r="G430"/>
  <c r="H430" s="1"/>
  <c r="J430" s="1"/>
  <c r="G761"/>
  <c r="H761" s="1"/>
  <c r="W697"/>
  <c r="G731"/>
  <c r="H731" s="1"/>
  <c r="I403"/>
  <c r="T665"/>
  <c r="U665" s="1"/>
  <c r="V665" s="1"/>
  <c r="G632" s="1"/>
  <c r="L665"/>
  <c r="K62"/>
  <c r="T697"/>
  <c r="U697" s="1"/>
  <c r="V697" s="1"/>
  <c r="N632" s="1"/>
  <c r="G403"/>
  <c r="W665"/>
  <c r="I665"/>
  <c r="K793"/>
  <c r="L793"/>
  <c r="X793"/>
  <c r="Y793" s="1"/>
  <c r="V793"/>
  <c r="AD793"/>
  <c r="C827"/>
  <c r="D827" s="1"/>
  <c r="O793"/>
  <c r="P793" s="1"/>
  <c r="AF793"/>
  <c r="M793"/>
  <c r="F200"/>
  <c r="G234"/>
  <c r="G760"/>
  <c r="H760" s="1"/>
  <c r="G462"/>
  <c r="M760"/>
  <c r="N760" s="1"/>
  <c r="F102"/>
  <c r="F169"/>
  <c r="G429"/>
  <c r="H429" s="1"/>
  <c r="J429" s="1"/>
  <c r="L696"/>
  <c r="F132"/>
  <c r="F352"/>
  <c r="H352" s="1"/>
  <c r="F316"/>
  <c r="G316" s="1"/>
  <c r="G489"/>
  <c r="E558"/>
  <c r="M61"/>
  <c r="I696"/>
  <c r="J696" s="1"/>
  <c r="K696" s="1"/>
  <c r="W696"/>
  <c r="T664"/>
  <c r="U664" s="1"/>
  <c r="V664" s="1"/>
  <c r="G631" s="1"/>
  <c r="W664"/>
  <c r="G730"/>
  <c r="H730" s="1"/>
  <c r="I402"/>
  <c r="T696"/>
  <c r="U696" s="1"/>
  <c r="V696" s="1"/>
  <c r="N631" s="1"/>
  <c r="K61"/>
  <c r="G402"/>
  <c r="I664"/>
  <c r="L664"/>
  <c r="K792"/>
  <c r="C826"/>
  <c r="D826" s="1"/>
  <c r="V792"/>
  <c r="X792"/>
  <c r="Y792" s="1"/>
  <c r="M792"/>
  <c r="L792"/>
  <c r="O792"/>
  <c r="P792" s="1"/>
  <c r="AD792"/>
  <c r="AF792"/>
  <c r="G233"/>
  <c r="F168"/>
  <c r="M759"/>
  <c r="N759" s="1"/>
  <c r="F351"/>
  <c r="H351" s="1"/>
  <c r="G488"/>
  <c r="G461"/>
  <c r="E557"/>
  <c r="M60"/>
  <c r="F101"/>
  <c r="F199"/>
  <c r="G428"/>
  <c r="H428" s="1"/>
  <c r="J428" s="1"/>
  <c r="I695"/>
  <c r="J695" s="1"/>
  <c r="K695" s="1"/>
  <c r="L695"/>
  <c r="F131"/>
  <c r="F315"/>
  <c r="G315" s="1"/>
  <c r="G759"/>
  <c r="H759" s="1"/>
  <c r="T663"/>
  <c r="U663" s="1"/>
  <c r="V663" s="1"/>
  <c r="G630" s="1"/>
  <c r="G401"/>
  <c r="L663"/>
  <c r="I401"/>
  <c r="T695"/>
  <c r="U695" s="1"/>
  <c r="V695" s="1"/>
  <c r="N630" s="1"/>
  <c r="G729"/>
  <c r="H729" s="1"/>
  <c r="W663"/>
  <c r="I663"/>
  <c r="W695"/>
  <c r="K60"/>
  <c r="C825"/>
  <c r="D825" s="1"/>
  <c r="K791"/>
  <c r="V791"/>
  <c r="AD791"/>
  <c r="O791"/>
  <c r="P791" s="1"/>
  <c r="AF791"/>
  <c r="X791"/>
  <c r="Y791" s="1"/>
  <c r="M791"/>
  <c r="L791"/>
  <c r="F198"/>
  <c r="G460"/>
  <c r="M59"/>
  <c r="F314"/>
  <c r="G314" s="1"/>
  <c r="F167"/>
  <c r="G427"/>
  <c r="H427" s="1"/>
  <c r="J427" s="1"/>
  <c r="G758"/>
  <c r="H758" s="1"/>
  <c r="F100"/>
  <c r="G232"/>
  <c r="G487"/>
  <c r="E556"/>
  <c r="I694"/>
  <c r="J694" s="1"/>
  <c r="K694" s="1"/>
  <c r="F130"/>
  <c r="F350"/>
  <c r="H350" s="1"/>
  <c r="M758"/>
  <c r="N758" s="1"/>
  <c r="L694"/>
  <c r="W662"/>
  <c r="T694"/>
  <c r="U694" s="1"/>
  <c r="V694" s="1"/>
  <c r="N629" s="1"/>
  <c r="G400"/>
  <c r="T662"/>
  <c r="U662" s="1"/>
  <c r="V662" s="1"/>
  <c r="G629" s="1"/>
  <c r="I400"/>
  <c r="G728"/>
  <c r="H728" s="1"/>
  <c r="K59"/>
  <c r="W694"/>
  <c r="L662"/>
  <c r="I662"/>
  <c r="AP790"/>
  <c r="AF790"/>
  <c r="M790"/>
  <c r="AD790"/>
  <c r="AN790"/>
  <c r="AO790" s="1"/>
  <c r="L790"/>
  <c r="K790"/>
  <c r="V790"/>
  <c r="O790"/>
  <c r="P790" s="1"/>
  <c r="X790"/>
  <c r="Y790" s="1"/>
  <c r="C824"/>
  <c r="D824" s="1"/>
  <c r="K789"/>
  <c r="AD789"/>
  <c r="L789"/>
  <c r="O789"/>
  <c r="P789" s="1"/>
  <c r="AP789"/>
  <c r="V789"/>
  <c r="AF789"/>
  <c r="AN789"/>
  <c r="AO789" s="1"/>
  <c r="X789"/>
  <c r="Y789" s="1"/>
  <c r="M789"/>
  <c r="C823"/>
  <c r="D823" s="1"/>
  <c r="S37" i="10"/>
  <c r="F166" i="25"/>
  <c r="G426"/>
  <c r="H426" s="1"/>
  <c r="J426" s="1"/>
  <c r="I693"/>
  <c r="J693" s="1"/>
  <c r="K693" s="1"/>
  <c r="F349"/>
  <c r="H349" s="1"/>
  <c r="F313"/>
  <c r="G313" s="1"/>
  <c r="G486"/>
  <c r="G757"/>
  <c r="H757" s="1"/>
  <c r="L693"/>
  <c r="F99"/>
  <c r="F197"/>
  <c r="G231"/>
  <c r="M757"/>
  <c r="N757" s="1"/>
  <c r="F129"/>
  <c r="G459"/>
  <c r="E555"/>
  <c r="M58"/>
  <c r="T661"/>
  <c r="U661" s="1"/>
  <c r="V661" s="1"/>
  <c r="G628" s="1"/>
  <c r="I661"/>
  <c r="T693"/>
  <c r="U693" s="1"/>
  <c r="V693" s="1"/>
  <c r="N628" s="1"/>
  <c r="K58"/>
  <c r="W693"/>
  <c r="I399"/>
  <c r="G727"/>
  <c r="H727" s="1"/>
  <c r="W661"/>
  <c r="G399"/>
  <c r="L661"/>
  <c r="K788"/>
  <c r="AN788"/>
  <c r="AO788" s="1"/>
  <c r="AP788"/>
  <c r="X788"/>
  <c r="Y788" s="1"/>
  <c r="M788"/>
  <c r="L788"/>
  <c r="AD788"/>
  <c r="AF788"/>
  <c r="O788"/>
  <c r="P788" s="1"/>
  <c r="V788"/>
  <c r="C822"/>
  <c r="D822" s="1"/>
  <c r="F196"/>
  <c r="G425"/>
  <c r="H425" s="1"/>
  <c r="J425" s="1"/>
  <c r="F312"/>
  <c r="G312" s="1"/>
  <c r="E554"/>
  <c r="M756"/>
  <c r="N756" s="1"/>
  <c r="G756"/>
  <c r="H756" s="1"/>
  <c r="M57"/>
  <c r="F98"/>
  <c r="G230"/>
  <c r="F165"/>
  <c r="L692"/>
  <c r="F128"/>
  <c r="F348"/>
  <c r="H348" s="1"/>
  <c r="G485"/>
  <c r="G458"/>
  <c r="I692"/>
  <c r="J692" s="1"/>
  <c r="K692" s="1"/>
  <c r="W660"/>
  <c r="T660"/>
  <c r="U660" s="1"/>
  <c r="V660" s="1"/>
  <c r="G627" s="1"/>
  <c r="G398"/>
  <c r="I398"/>
  <c r="T692"/>
  <c r="U692" s="1"/>
  <c r="V692" s="1"/>
  <c r="N627" s="1"/>
  <c r="W692"/>
  <c r="G726"/>
  <c r="H726" s="1"/>
  <c r="K57"/>
  <c r="L660"/>
  <c r="I660"/>
  <c r="F311"/>
  <c r="G311" s="1"/>
  <c r="F164"/>
  <c r="G424"/>
  <c r="H424" s="1"/>
  <c r="J424" s="1"/>
  <c r="M56"/>
  <c r="F97"/>
  <c r="G229"/>
  <c r="G484"/>
  <c r="M755"/>
  <c r="N755" s="1"/>
  <c r="L691"/>
  <c r="F127"/>
  <c r="F347"/>
  <c r="H347" s="1"/>
  <c r="G755"/>
  <c r="H755" s="1"/>
  <c r="F195"/>
  <c r="G457"/>
  <c r="E553"/>
  <c r="I691"/>
  <c r="J691" s="1"/>
  <c r="K691" s="1"/>
  <c r="T659"/>
  <c r="U659" s="1"/>
  <c r="V659" s="1"/>
  <c r="G626" s="1"/>
  <c r="W691"/>
  <c r="I659"/>
  <c r="K56"/>
  <c r="I397"/>
  <c r="W659"/>
  <c r="G397"/>
  <c r="G725"/>
  <c r="H725" s="1"/>
  <c r="L659"/>
  <c r="T691"/>
  <c r="U691" s="1"/>
  <c r="V691" s="1"/>
  <c r="N626" s="1"/>
  <c r="K787"/>
  <c r="V787"/>
  <c r="AF787"/>
  <c r="AN787"/>
  <c r="AO787" s="1"/>
  <c r="X787"/>
  <c r="Y787" s="1"/>
  <c r="AP787"/>
  <c r="L787"/>
  <c r="M787"/>
  <c r="AD787"/>
  <c r="O787"/>
  <c r="P787" s="1"/>
  <c r="C821"/>
  <c r="D821" s="1"/>
  <c r="K785"/>
  <c r="X785"/>
  <c r="Y785" s="1"/>
  <c r="AF785"/>
  <c r="L785"/>
  <c r="M785"/>
  <c r="AD785"/>
  <c r="AP785"/>
  <c r="O785"/>
  <c r="P785" s="1"/>
  <c r="AN785"/>
  <c r="AO785" s="1"/>
  <c r="V785"/>
  <c r="C819"/>
  <c r="D819" s="1"/>
  <c r="F309"/>
  <c r="G309" s="1"/>
  <c r="G422"/>
  <c r="H422" s="1"/>
  <c r="J422" s="1"/>
  <c r="M753"/>
  <c r="N753" s="1"/>
  <c r="G753"/>
  <c r="H753" s="1"/>
  <c r="F345"/>
  <c r="H345" s="1"/>
  <c r="G227"/>
  <c r="E551"/>
  <c r="M54"/>
  <c r="I689"/>
  <c r="J689" s="1"/>
  <c r="K689" s="1"/>
  <c r="F95"/>
  <c r="F193"/>
  <c r="F162"/>
  <c r="L689"/>
  <c r="F125"/>
  <c r="G482"/>
  <c r="G455"/>
  <c r="I657"/>
  <c r="G395"/>
  <c r="W657"/>
  <c r="K54"/>
  <c r="I395"/>
  <c r="T689"/>
  <c r="U689" s="1"/>
  <c r="V689" s="1"/>
  <c r="N624" s="1"/>
  <c r="L657"/>
  <c r="G723"/>
  <c r="H723" s="1"/>
  <c r="T657"/>
  <c r="U657" s="1"/>
  <c r="V657" s="1"/>
  <c r="G624" s="1"/>
  <c r="W689"/>
  <c r="F96"/>
  <c r="F194"/>
  <c r="F163"/>
  <c r="G423"/>
  <c r="H423" s="1"/>
  <c r="J423" s="1"/>
  <c r="E552"/>
  <c r="M754"/>
  <c r="N754" s="1"/>
  <c r="F126"/>
  <c r="F310"/>
  <c r="G310" s="1"/>
  <c r="G483"/>
  <c r="G754"/>
  <c r="H754" s="1"/>
  <c r="I690"/>
  <c r="J690" s="1"/>
  <c r="K690" s="1"/>
  <c r="G228"/>
  <c r="L690"/>
  <c r="M55"/>
  <c r="F346"/>
  <c r="H346" s="1"/>
  <c r="G456"/>
  <c r="K55"/>
  <c r="W658"/>
  <c r="I396"/>
  <c r="T658"/>
  <c r="U658" s="1"/>
  <c r="V658" s="1"/>
  <c r="G625" s="1"/>
  <c r="T690"/>
  <c r="U690" s="1"/>
  <c r="V690" s="1"/>
  <c r="N625" s="1"/>
  <c r="G724"/>
  <c r="H724" s="1"/>
  <c r="G396"/>
  <c r="W690"/>
  <c r="I658"/>
  <c r="L658"/>
  <c r="K786"/>
  <c r="M786"/>
  <c r="O786"/>
  <c r="P786" s="1"/>
  <c r="L786"/>
  <c r="X786"/>
  <c r="Y786" s="1"/>
  <c r="AF786"/>
  <c r="AD786"/>
  <c r="V786"/>
  <c r="AP786"/>
  <c r="AN786"/>
  <c r="AO786" s="1"/>
  <c r="C820"/>
  <c r="D820" s="1"/>
  <c r="K784"/>
  <c r="L784"/>
  <c r="AD784"/>
  <c r="AF784"/>
  <c r="AN784"/>
  <c r="AO784" s="1"/>
  <c r="AP784"/>
  <c r="O784"/>
  <c r="P784" s="1"/>
  <c r="V784"/>
  <c r="M784"/>
  <c r="X784"/>
  <c r="Y784" s="1"/>
  <c r="C818"/>
  <c r="D818" s="1"/>
  <c r="F344"/>
  <c r="H344" s="1"/>
  <c r="G226"/>
  <c r="G421"/>
  <c r="H421" s="1"/>
  <c r="J421" s="1"/>
  <c r="L688"/>
  <c r="F192"/>
  <c r="E550"/>
  <c r="M752"/>
  <c r="N752" s="1"/>
  <c r="G752"/>
  <c r="H752" s="1"/>
  <c r="M53"/>
  <c r="F94"/>
  <c r="F161"/>
  <c r="F124"/>
  <c r="F308"/>
  <c r="G308" s="1"/>
  <c r="G481"/>
  <c r="G454"/>
  <c r="I688"/>
  <c r="J688" s="1"/>
  <c r="K688" s="1"/>
  <c r="I394"/>
  <c r="T688"/>
  <c r="U688" s="1"/>
  <c r="V688" s="1"/>
  <c r="N623" s="1"/>
  <c r="W656"/>
  <c r="G722"/>
  <c r="H722" s="1"/>
  <c r="G394"/>
  <c r="W688"/>
  <c r="K53"/>
  <c r="T656"/>
  <c r="U656" s="1"/>
  <c r="V656" s="1"/>
  <c r="G623" s="1"/>
  <c r="I656"/>
  <c r="L656"/>
  <c r="K30" i="23"/>
  <c r="D17"/>
  <c r="C64" i="14" s="1"/>
  <c r="N30" i="23"/>
  <c r="P30"/>
  <c r="L30"/>
  <c r="Q30"/>
  <c r="M30"/>
  <c r="R30"/>
  <c r="J30"/>
  <c r="C30" i="25"/>
  <c r="H30" s="1"/>
  <c r="I30" s="1"/>
  <c r="F30"/>
  <c r="B29"/>
  <c r="B28" s="1"/>
  <c r="AP791"/>
  <c r="AN791"/>
  <c r="P825" s="1"/>
  <c r="P823"/>
  <c r="P821"/>
  <c r="P819"/>
  <c r="P817"/>
  <c r="P815"/>
  <c r="P813"/>
  <c r="P811"/>
  <c r="P809"/>
  <c r="AM793"/>
  <c r="AP793"/>
  <c r="AN793"/>
  <c r="P827" s="1"/>
  <c r="AP792"/>
  <c r="AN792"/>
  <c r="P826" s="1"/>
  <c r="AM791"/>
  <c r="P824"/>
  <c r="Q823"/>
  <c r="P822"/>
  <c r="P820"/>
  <c r="P818"/>
  <c r="P816"/>
  <c r="Q815"/>
  <c r="P814"/>
  <c r="Q813"/>
  <c r="P812"/>
  <c r="P810"/>
  <c r="P808"/>
  <c r="AM792"/>
  <c r="O30" i="23"/>
  <c r="H30"/>
  <c r="H31" i="25"/>
  <c r="I31" s="1"/>
  <c r="L31"/>
  <c r="C42" i="14"/>
  <c r="C44" s="1"/>
  <c r="C48" s="1"/>
  <c r="S57" i="7"/>
  <c r="W54" i="6"/>
  <c r="S175" i="4"/>
  <c r="S174"/>
  <c r="B17" i="23"/>
  <c r="Q24" i="22" s="1"/>
  <c r="S50" i="21"/>
  <c r="S74" i="3"/>
  <c r="S75"/>
  <c r="C17" i="23"/>
  <c r="C49" i="14" s="1"/>
  <c r="S58" i="15"/>
  <c r="S57"/>
  <c r="I30" i="23"/>
  <c r="S63" i="6"/>
  <c r="S62"/>
  <c r="X665" i="25" l="1"/>
  <c r="E632"/>
  <c r="Z665"/>
  <c r="Y665"/>
  <c r="I632" s="1"/>
  <c r="M665"/>
  <c r="F632" s="1"/>
  <c r="D632"/>
  <c r="L632"/>
  <c r="X697"/>
  <c r="Y697"/>
  <c r="P632" s="1"/>
  <c r="Z697"/>
  <c r="J559"/>
  <c r="K559"/>
  <c r="G133"/>
  <c r="H133"/>
  <c r="J133" s="1"/>
  <c r="J353"/>
  <c r="I353"/>
  <c r="AH793"/>
  <c r="M827" s="1"/>
  <c r="AI793"/>
  <c r="N827" s="1"/>
  <c r="AG793"/>
  <c r="L827"/>
  <c r="F827"/>
  <c r="W793"/>
  <c r="G827" s="1"/>
  <c r="N665"/>
  <c r="J665"/>
  <c r="K665" s="1"/>
  <c r="O665"/>
  <c r="M697"/>
  <c r="M632" s="1"/>
  <c r="O697"/>
  <c r="K632"/>
  <c r="N697"/>
  <c r="H201"/>
  <c r="J201" s="1"/>
  <c r="G201"/>
  <c r="I235"/>
  <c r="K235" s="1"/>
  <c r="H235"/>
  <c r="B593"/>
  <c r="B559"/>
  <c r="N62"/>
  <c r="B632"/>
  <c r="J827"/>
  <c r="AE793"/>
  <c r="K827" s="1"/>
  <c r="F559"/>
  <c r="J403"/>
  <c r="G559" s="1"/>
  <c r="O403"/>
  <c r="L430"/>
  <c r="K430"/>
  <c r="H490"/>
  <c r="J490"/>
  <c r="K490" s="1"/>
  <c r="G170"/>
  <c r="H170"/>
  <c r="J170" s="1"/>
  <c r="H403"/>
  <c r="K403"/>
  <c r="N403" s="1"/>
  <c r="J463"/>
  <c r="H463"/>
  <c r="G103"/>
  <c r="H103"/>
  <c r="J103" s="1"/>
  <c r="F826"/>
  <c r="W792"/>
  <c r="G826" s="1"/>
  <c r="J664"/>
  <c r="K664" s="1"/>
  <c r="O664"/>
  <c r="N664"/>
  <c r="F558"/>
  <c r="J402"/>
  <c r="G558" s="1"/>
  <c r="O402"/>
  <c r="Y696"/>
  <c r="P631" s="1"/>
  <c r="X696"/>
  <c r="Z696"/>
  <c r="L631"/>
  <c r="H489"/>
  <c r="J489"/>
  <c r="K489" s="1"/>
  <c r="K631"/>
  <c r="N696"/>
  <c r="M696"/>
  <c r="M631" s="1"/>
  <c r="O696"/>
  <c r="H200"/>
  <c r="J200" s="1"/>
  <c r="G200"/>
  <c r="J826"/>
  <c r="AE792"/>
  <c r="K826" s="1"/>
  <c r="M664"/>
  <c r="F631" s="1"/>
  <c r="D631"/>
  <c r="J558"/>
  <c r="K558"/>
  <c r="H132"/>
  <c r="J132" s="1"/>
  <c r="G132"/>
  <c r="G102"/>
  <c r="H102"/>
  <c r="J102" s="1"/>
  <c r="H234"/>
  <c r="I234"/>
  <c r="K234" s="1"/>
  <c r="AH792"/>
  <c r="M826" s="1"/>
  <c r="AI792"/>
  <c r="N826" s="1"/>
  <c r="L826"/>
  <c r="AG792"/>
  <c r="E631"/>
  <c r="X664"/>
  <c r="Z664"/>
  <c r="Y664"/>
  <c r="I631" s="1"/>
  <c r="N61"/>
  <c r="B592"/>
  <c r="B558"/>
  <c r="B631"/>
  <c r="J352"/>
  <c r="I352"/>
  <c r="G169"/>
  <c r="H169"/>
  <c r="J169" s="1"/>
  <c r="H402"/>
  <c r="K402"/>
  <c r="N402" s="1"/>
  <c r="L429"/>
  <c r="K429"/>
  <c r="J462"/>
  <c r="H462"/>
  <c r="W791"/>
  <c r="G825" s="1"/>
  <c r="F825"/>
  <c r="Y695"/>
  <c r="P630" s="1"/>
  <c r="L630"/>
  <c r="X695"/>
  <c r="Z695"/>
  <c r="K630"/>
  <c r="M695"/>
  <c r="M630" s="1"/>
  <c r="N695"/>
  <c r="O695"/>
  <c r="G101"/>
  <c r="H101"/>
  <c r="J101" s="1"/>
  <c r="J488"/>
  <c r="K488" s="1"/>
  <c r="H488"/>
  <c r="H233"/>
  <c r="I233"/>
  <c r="K233" s="1"/>
  <c r="AE791"/>
  <c r="K825" s="1"/>
  <c r="J825"/>
  <c r="H401"/>
  <c r="K401"/>
  <c r="N401" s="1"/>
  <c r="H131"/>
  <c r="J131" s="1"/>
  <c r="G131"/>
  <c r="G199"/>
  <c r="H199"/>
  <c r="J199" s="1"/>
  <c r="J461"/>
  <c r="H461"/>
  <c r="G168"/>
  <c r="H168"/>
  <c r="J168" s="1"/>
  <c r="Z663"/>
  <c r="X663"/>
  <c r="Y663"/>
  <c r="I630" s="1"/>
  <c r="E630"/>
  <c r="M663"/>
  <c r="F630" s="1"/>
  <c r="D630"/>
  <c r="L428"/>
  <c r="K428"/>
  <c r="K557"/>
  <c r="J557"/>
  <c r="AH791"/>
  <c r="M825" s="1"/>
  <c r="L825"/>
  <c r="AI791"/>
  <c r="N825" s="1"/>
  <c r="AG791"/>
  <c r="O663"/>
  <c r="N663"/>
  <c r="J663"/>
  <c r="K663" s="1"/>
  <c r="F557"/>
  <c r="O401"/>
  <c r="J401"/>
  <c r="G557" s="1"/>
  <c r="B591"/>
  <c r="B557"/>
  <c r="N60"/>
  <c r="B630"/>
  <c r="J351"/>
  <c r="I351"/>
  <c r="M662"/>
  <c r="F629" s="1"/>
  <c r="D629"/>
  <c r="F556"/>
  <c r="O400"/>
  <c r="J400"/>
  <c r="G556" s="1"/>
  <c r="E629"/>
  <c r="X662"/>
  <c r="Y662"/>
  <c r="I629" s="1"/>
  <c r="Z662"/>
  <c r="H130"/>
  <c r="J130" s="1"/>
  <c r="G130"/>
  <c r="I232"/>
  <c r="K232" s="1"/>
  <c r="H232"/>
  <c r="G167"/>
  <c r="H167"/>
  <c r="J167" s="1"/>
  <c r="G198"/>
  <c r="H198"/>
  <c r="J198" s="1"/>
  <c r="F824"/>
  <c r="W790"/>
  <c r="G824" s="1"/>
  <c r="AE790"/>
  <c r="K824" s="1"/>
  <c r="J824"/>
  <c r="N662"/>
  <c r="J662"/>
  <c r="K662" s="1"/>
  <c r="O662"/>
  <c r="J350"/>
  <c r="I350"/>
  <c r="H487"/>
  <c r="J487"/>
  <c r="K487" s="1"/>
  <c r="L427"/>
  <c r="K427"/>
  <c r="J460"/>
  <c r="H460"/>
  <c r="AQ790"/>
  <c r="AR790"/>
  <c r="H400"/>
  <c r="K400"/>
  <c r="N400" s="1"/>
  <c r="J556"/>
  <c r="K556"/>
  <c r="B629"/>
  <c r="N59"/>
  <c r="B590"/>
  <c r="B556"/>
  <c r="AI790"/>
  <c r="N824" s="1"/>
  <c r="AG790"/>
  <c r="AH790"/>
  <c r="M824" s="1"/>
  <c r="L824"/>
  <c r="Z694"/>
  <c r="L629"/>
  <c r="Y694"/>
  <c r="P629" s="1"/>
  <c r="X694"/>
  <c r="K629"/>
  <c r="N694"/>
  <c r="M694"/>
  <c r="M629" s="1"/>
  <c r="O694"/>
  <c r="G100"/>
  <c r="H100"/>
  <c r="J100" s="1"/>
  <c r="H399"/>
  <c r="K399"/>
  <c r="N399" s="1"/>
  <c r="L628"/>
  <c r="Z693"/>
  <c r="Y693"/>
  <c r="P628" s="1"/>
  <c r="X693"/>
  <c r="G129"/>
  <c r="H129"/>
  <c r="J129" s="1"/>
  <c r="G99"/>
  <c r="H99"/>
  <c r="J99" s="1"/>
  <c r="G166"/>
  <c r="H166"/>
  <c r="J166" s="1"/>
  <c r="AQ789"/>
  <c r="AR789"/>
  <c r="T823" s="1"/>
  <c r="M661"/>
  <c r="F628" s="1"/>
  <c r="D628"/>
  <c r="F555"/>
  <c r="O399"/>
  <c r="J399"/>
  <c r="G555" s="1"/>
  <c r="N661"/>
  <c r="O661"/>
  <c r="J661"/>
  <c r="K661" s="1"/>
  <c r="J459"/>
  <c r="H459"/>
  <c r="G197"/>
  <c r="H197"/>
  <c r="J197" s="1"/>
  <c r="J486"/>
  <c r="K486" s="1"/>
  <c r="H486"/>
  <c r="L426"/>
  <c r="K426"/>
  <c r="W789"/>
  <c r="G823" s="1"/>
  <c r="F823"/>
  <c r="AE789"/>
  <c r="K823" s="1"/>
  <c r="J823"/>
  <c r="J555"/>
  <c r="K555"/>
  <c r="I231"/>
  <c r="K231" s="1"/>
  <c r="H231"/>
  <c r="AG789"/>
  <c r="AH789"/>
  <c r="M823" s="1"/>
  <c r="AI789"/>
  <c r="N823" s="1"/>
  <c r="L823"/>
  <c r="E628"/>
  <c r="X661"/>
  <c r="Z661"/>
  <c r="Y661"/>
  <c r="I628" s="1"/>
  <c r="B589"/>
  <c r="B555"/>
  <c r="B628"/>
  <c r="N58"/>
  <c r="K628"/>
  <c r="M693"/>
  <c r="M628" s="1"/>
  <c r="O693"/>
  <c r="N693"/>
  <c r="J349"/>
  <c r="I349"/>
  <c r="O660"/>
  <c r="J660"/>
  <c r="K660" s="1"/>
  <c r="N660"/>
  <c r="L627"/>
  <c r="Z692"/>
  <c r="Y692"/>
  <c r="P627" s="1"/>
  <c r="X692"/>
  <c r="J485"/>
  <c r="K485" s="1"/>
  <c r="H485"/>
  <c r="G165"/>
  <c r="H165"/>
  <c r="J165" s="1"/>
  <c r="L425"/>
  <c r="K425"/>
  <c r="H398"/>
  <c r="K398"/>
  <c r="N398" s="1"/>
  <c r="J458"/>
  <c r="H458"/>
  <c r="K627"/>
  <c r="N692"/>
  <c r="M692"/>
  <c r="M627" s="1"/>
  <c r="O692"/>
  <c r="B627"/>
  <c r="N57"/>
  <c r="B588"/>
  <c r="B554"/>
  <c r="W788"/>
  <c r="G822" s="1"/>
  <c r="F822"/>
  <c r="F554"/>
  <c r="O398"/>
  <c r="J398"/>
  <c r="G554" s="1"/>
  <c r="H128"/>
  <c r="J128" s="1"/>
  <c r="G128"/>
  <c r="G98"/>
  <c r="H98"/>
  <c r="J98" s="1"/>
  <c r="J554"/>
  <c r="K554"/>
  <c r="AE788"/>
  <c r="K822" s="1"/>
  <c r="J822"/>
  <c r="AQ788"/>
  <c r="AR788"/>
  <c r="M660"/>
  <c r="F627" s="1"/>
  <c r="D627"/>
  <c r="E627"/>
  <c r="X660"/>
  <c r="Y660"/>
  <c r="I627" s="1"/>
  <c r="Z660"/>
  <c r="J348"/>
  <c r="I348"/>
  <c r="I230"/>
  <c r="K230" s="1"/>
  <c r="H230"/>
  <c r="H196"/>
  <c r="J196" s="1"/>
  <c r="G196"/>
  <c r="AH788"/>
  <c r="M822" s="1"/>
  <c r="AI788"/>
  <c r="N822" s="1"/>
  <c r="AG788"/>
  <c r="L822"/>
  <c r="AG787"/>
  <c r="AH787"/>
  <c r="M821" s="1"/>
  <c r="AI787"/>
  <c r="N821" s="1"/>
  <c r="L821"/>
  <c r="M659"/>
  <c r="F626" s="1"/>
  <c r="D626"/>
  <c r="F553"/>
  <c r="O397"/>
  <c r="J397"/>
  <c r="G553" s="1"/>
  <c r="G195"/>
  <c r="H195"/>
  <c r="J195" s="1"/>
  <c r="K626"/>
  <c r="N691"/>
  <c r="M691"/>
  <c r="M626" s="1"/>
  <c r="O691"/>
  <c r="G97"/>
  <c r="H97"/>
  <c r="J97" s="1"/>
  <c r="E626"/>
  <c r="Z659"/>
  <c r="Y659"/>
  <c r="I626" s="1"/>
  <c r="X659"/>
  <c r="L626"/>
  <c r="Y691"/>
  <c r="P626" s="1"/>
  <c r="X691"/>
  <c r="Z691"/>
  <c r="H457"/>
  <c r="J457"/>
  <c r="G127"/>
  <c r="H127"/>
  <c r="J127" s="1"/>
  <c r="H229"/>
  <c r="I229"/>
  <c r="K229" s="1"/>
  <c r="G164"/>
  <c r="H164"/>
  <c r="J164" s="1"/>
  <c r="AE787"/>
  <c r="K821" s="1"/>
  <c r="J821"/>
  <c r="H397"/>
  <c r="K397"/>
  <c r="N397" s="1"/>
  <c r="O659"/>
  <c r="N659"/>
  <c r="J659"/>
  <c r="K659" s="1"/>
  <c r="K553"/>
  <c r="J553"/>
  <c r="J347"/>
  <c r="I347"/>
  <c r="H484"/>
  <c r="J484"/>
  <c r="K484" s="1"/>
  <c r="L424"/>
  <c r="K424"/>
  <c r="AQ787"/>
  <c r="AR787"/>
  <c r="W787"/>
  <c r="G821" s="1"/>
  <c r="F821"/>
  <c r="B587"/>
  <c r="B553"/>
  <c r="N56"/>
  <c r="B626"/>
  <c r="L624"/>
  <c r="X689"/>
  <c r="Z689"/>
  <c r="Y689"/>
  <c r="P624" s="1"/>
  <c r="H395"/>
  <c r="K395"/>
  <c r="N395" s="1"/>
  <c r="G125"/>
  <c r="H125"/>
  <c r="J125" s="1"/>
  <c r="G95"/>
  <c r="H95"/>
  <c r="J95" s="1"/>
  <c r="I227"/>
  <c r="K227" s="1"/>
  <c r="H227"/>
  <c r="L422"/>
  <c r="K422"/>
  <c r="M657"/>
  <c r="F624" s="1"/>
  <c r="D624"/>
  <c r="E624"/>
  <c r="Z657"/>
  <c r="Y657"/>
  <c r="I624" s="1"/>
  <c r="X657"/>
  <c r="H482"/>
  <c r="J482"/>
  <c r="K482" s="1"/>
  <c r="H193"/>
  <c r="J193" s="1"/>
  <c r="G193"/>
  <c r="J551"/>
  <c r="K551"/>
  <c r="W785"/>
  <c r="G819" s="1"/>
  <c r="F819"/>
  <c r="AE785"/>
  <c r="K819" s="1"/>
  <c r="J819"/>
  <c r="J455"/>
  <c r="H455"/>
  <c r="G162"/>
  <c r="H162"/>
  <c r="J162" s="1"/>
  <c r="B585"/>
  <c r="B551"/>
  <c r="B624"/>
  <c r="N54"/>
  <c r="AQ785"/>
  <c r="S819" s="1"/>
  <c r="AR785"/>
  <c r="AG785"/>
  <c r="AI785"/>
  <c r="N819" s="1"/>
  <c r="AH785"/>
  <c r="M819" s="1"/>
  <c r="L819"/>
  <c r="F551"/>
  <c r="O395"/>
  <c r="J395"/>
  <c r="G551" s="1"/>
  <c r="N657"/>
  <c r="J657"/>
  <c r="K657" s="1"/>
  <c r="O657"/>
  <c r="M689"/>
  <c r="M624" s="1"/>
  <c r="N689"/>
  <c r="K624"/>
  <c r="O689"/>
  <c r="J345"/>
  <c r="I345"/>
  <c r="AE786"/>
  <c r="K820" s="1"/>
  <c r="J820"/>
  <c r="J658"/>
  <c r="K658" s="1"/>
  <c r="O658"/>
  <c r="N658"/>
  <c r="K625"/>
  <c r="M690"/>
  <c r="M625" s="1"/>
  <c r="N690"/>
  <c r="O690"/>
  <c r="H483"/>
  <c r="J483"/>
  <c r="K483" s="1"/>
  <c r="J552"/>
  <c r="K552"/>
  <c r="G96"/>
  <c r="H96"/>
  <c r="J96" s="1"/>
  <c r="W786"/>
  <c r="G820" s="1"/>
  <c r="F820"/>
  <c r="M658"/>
  <c r="F625" s="1"/>
  <c r="D625"/>
  <c r="E625"/>
  <c r="X658"/>
  <c r="Y658"/>
  <c r="I625" s="1"/>
  <c r="Z658"/>
  <c r="N55"/>
  <c r="B586"/>
  <c r="B552"/>
  <c r="B625"/>
  <c r="G194"/>
  <c r="H194"/>
  <c r="J194" s="1"/>
  <c r="AR786"/>
  <c r="AQ786"/>
  <c r="H396"/>
  <c r="K396"/>
  <c r="N396" s="1"/>
  <c r="F552"/>
  <c r="O396"/>
  <c r="J396"/>
  <c r="G552" s="1"/>
  <c r="J346"/>
  <c r="I346"/>
  <c r="G126"/>
  <c r="H126"/>
  <c r="J126" s="1"/>
  <c r="G163"/>
  <c r="H163"/>
  <c r="J163" s="1"/>
  <c r="AI786"/>
  <c r="N820" s="1"/>
  <c r="AH786"/>
  <c r="M820" s="1"/>
  <c r="AG786"/>
  <c r="L820"/>
  <c r="L625"/>
  <c r="X690"/>
  <c r="Y690"/>
  <c r="P625" s="1"/>
  <c r="Z690"/>
  <c r="J456"/>
  <c r="H456"/>
  <c r="I228"/>
  <c r="K228" s="1"/>
  <c r="H228"/>
  <c r="K423"/>
  <c r="L423"/>
  <c r="I226"/>
  <c r="K226" s="1"/>
  <c r="H226"/>
  <c r="L623"/>
  <c r="X688"/>
  <c r="Y688"/>
  <c r="P623" s="1"/>
  <c r="Z688"/>
  <c r="H481"/>
  <c r="J481"/>
  <c r="K481" s="1"/>
  <c r="H94"/>
  <c r="J94" s="1"/>
  <c r="G94"/>
  <c r="J550"/>
  <c r="K550"/>
  <c r="E623"/>
  <c r="X656"/>
  <c r="Z656"/>
  <c r="Y656"/>
  <c r="I623" s="1"/>
  <c r="J454"/>
  <c r="H454"/>
  <c r="G161"/>
  <c r="H161"/>
  <c r="J161" s="1"/>
  <c r="L421"/>
  <c r="K421"/>
  <c r="AR784"/>
  <c r="AQ784"/>
  <c r="S818" s="1"/>
  <c r="H124"/>
  <c r="J124" s="1"/>
  <c r="G124"/>
  <c r="K623"/>
  <c r="M688"/>
  <c r="M623" s="1"/>
  <c r="O688"/>
  <c r="N688"/>
  <c r="AE784"/>
  <c r="K818" s="1"/>
  <c r="J818"/>
  <c r="M656"/>
  <c r="F623" s="1"/>
  <c r="D623"/>
  <c r="O656"/>
  <c r="J656"/>
  <c r="K656" s="1"/>
  <c r="N656"/>
  <c r="H394"/>
  <c r="K394"/>
  <c r="N394" s="1"/>
  <c r="F550"/>
  <c r="J394"/>
  <c r="G550" s="1"/>
  <c r="O394"/>
  <c r="B623"/>
  <c r="B584"/>
  <c r="N53"/>
  <c r="B550"/>
  <c r="G192"/>
  <c r="H192"/>
  <c r="J192" s="1"/>
  <c r="J344"/>
  <c r="I344"/>
  <c r="W784"/>
  <c r="G818" s="1"/>
  <c r="F818"/>
  <c r="AH784"/>
  <c r="M818" s="1"/>
  <c r="AG784"/>
  <c r="AI784"/>
  <c r="N818" s="1"/>
  <c r="L818"/>
  <c r="L30"/>
  <c r="G29"/>
  <c r="AO792"/>
  <c r="Q826" s="1"/>
  <c r="F29"/>
  <c r="C29"/>
  <c r="G28"/>
  <c r="B27"/>
  <c r="C28"/>
  <c r="F28"/>
  <c r="AO791"/>
  <c r="Q825" s="1"/>
  <c r="T810"/>
  <c r="R810"/>
  <c r="T816"/>
  <c r="R816"/>
  <c r="T818"/>
  <c r="R818"/>
  <c r="T822"/>
  <c r="R822"/>
  <c r="AR792"/>
  <c r="T826" s="1"/>
  <c r="R826"/>
  <c r="T809"/>
  <c r="R809"/>
  <c r="T813"/>
  <c r="R813"/>
  <c r="T815"/>
  <c r="R815"/>
  <c r="S823"/>
  <c r="R823"/>
  <c r="T808"/>
  <c r="R808"/>
  <c r="T812"/>
  <c r="R812"/>
  <c r="T814"/>
  <c r="R814"/>
  <c r="T820"/>
  <c r="R820"/>
  <c r="T824"/>
  <c r="R824"/>
  <c r="AR793"/>
  <c r="T827" s="1"/>
  <c r="R827"/>
  <c r="T811"/>
  <c r="R811"/>
  <c r="T817"/>
  <c r="R817"/>
  <c r="T819"/>
  <c r="R819"/>
  <c r="T821"/>
  <c r="R821"/>
  <c r="AR791"/>
  <c r="T825" s="1"/>
  <c r="R825"/>
  <c r="AQ792"/>
  <c r="S826" s="1"/>
  <c r="S811"/>
  <c r="S810"/>
  <c r="Q812"/>
  <c r="S816"/>
  <c r="S822"/>
  <c r="AQ793"/>
  <c r="S827" s="1"/>
  <c r="S817"/>
  <c r="S808"/>
  <c r="Q808"/>
  <c r="S812"/>
  <c r="S814"/>
  <c r="S820"/>
  <c r="Q820"/>
  <c r="S824"/>
  <c r="S809"/>
  <c r="Q809"/>
  <c r="S813"/>
  <c r="S815"/>
  <c r="Q814"/>
  <c r="Q817"/>
  <c r="S821"/>
  <c r="Q821"/>
  <c r="AQ791"/>
  <c r="S825" s="1"/>
  <c r="Q824"/>
  <c r="Q810"/>
  <c r="Q818"/>
  <c r="AO793"/>
  <c r="Q827" s="1"/>
  <c r="Q811"/>
  <c r="Q816"/>
  <c r="Q819"/>
  <c r="Q822"/>
  <c r="C20" i="14"/>
  <c r="H632" i="25" l="1"/>
  <c r="O632"/>
  <c r="K103"/>
  <c r="L103"/>
  <c r="H559"/>
  <c r="R403"/>
  <c r="I559" s="1"/>
  <c r="K201"/>
  <c r="L201"/>
  <c r="F270" s="1"/>
  <c r="L133"/>
  <c r="K133"/>
  <c r="K463"/>
  <c r="S403"/>
  <c r="L170"/>
  <c r="E270" s="1"/>
  <c r="K170"/>
  <c r="B490"/>
  <c r="B403"/>
  <c r="B430" s="1"/>
  <c r="B697"/>
  <c r="B731"/>
  <c r="L731" s="1"/>
  <c r="M731" s="1"/>
  <c r="N731" s="1"/>
  <c r="B761"/>
  <c r="B665"/>
  <c r="B463"/>
  <c r="N235"/>
  <c r="G270" s="1"/>
  <c r="H270" s="1"/>
  <c r="M235"/>
  <c r="L235"/>
  <c r="K462"/>
  <c r="S402"/>
  <c r="B489"/>
  <c r="B462"/>
  <c r="B664"/>
  <c r="B402"/>
  <c r="B429" s="1"/>
  <c r="B760"/>
  <c r="B696"/>
  <c r="B730"/>
  <c r="L730" s="1"/>
  <c r="M730" s="1"/>
  <c r="N730" s="1"/>
  <c r="K102"/>
  <c r="L102"/>
  <c r="L132"/>
  <c r="K132"/>
  <c r="K200"/>
  <c r="L200"/>
  <c r="F269" s="1"/>
  <c r="K169"/>
  <c r="L169"/>
  <c r="E269" s="1"/>
  <c r="N234"/>
  <c r="G269" s="1"/>
  <c r="H269" s="1"/>
  <c r="L234"/>
  <c r="M234"/>
  <c r="H558"/>
  <c r="R402"/>
  <c r="I558" s="1"/>
  <c r="O631"/>
  <c r="H631"/>
  <c r="S401"/>
  <c r="K461"/>
  <c r="L131"/>
  <c r="K131"/>
  <c r="B488"/>
  <c r="B401"/>
  <c r="B428" s="1"/>
  <c r="B759"/>
  <c r="B663"/>
  <c r="B461"/>
  <c r="B729"/>
  <c r="L729" s="1"/>
  <c r="M729" s="1"/>
  <c r="N729" s="1"/>
  <c r="B695"/>
  <c r="R401"/>
  <c r="I557" s="1"/>
  <c r="H557"/>
  <c r="O630"/>
  <c r="H630"/>
  <c r="L168"/>
  <c r="E268" s="1"/>
  <c r="K168"/>
  <c r="K199"/>
  <c r="L199"/>
  <c r="F268" s="1"/>
  <c r="M233"/>
  <c r="L233"/>
  <c r="N233"/>
  <c r="G268" s="1"/>
  <c r="H268" s="1"/>
  <c r="K101"/>
  <c r="L101"/>
  <c r="K198"/>
  <c r="L198"/>
  <c r="F267" s="1"/>
  <c r="K130"/>
  <c r="L130"/>
  <c r="S400"/>
  <c r="K460"/>
  <c r="K167"/>
  <c r="L167"/>
  <c r="E267" s="1"/>
  <c r="L100"/>
  <c r="K100"/>
  <c r="B487"/>
  <c r="B662"/>
  <c r="B460"/>
  <c r="B758"/>
  <c r="B400"/>
  <c r="B427" s="1"/>
  <c r="B694"/>
  <c r="B728"/>
  <c r="L728" s="1"/>
  <c r="M728" s="1"/>
  <c r="N728" s="1"/>
  <c r="H629"/>
  <c r="O629"/>
  <c r="L232"/>
  <c r="M232"/>
  <c r="N232"/>
  <c r="G267" s="1"/>
  <c r="H267" s="1"/>
  <c r="H556"/>
  <c r="R400"/>
  <c r="I556" s="1"/>
  <c r="B486"/>
  <c r="B693"/>
  <c r="B459"/>
  <c r="B661"/>
  <c r="B727"/>
  <c r="L727" s="1"/>
  <c r="M727" s="1"/>
  <c r="N727" s="1"/>
  <c r="B399"/>
  <c r="B426" s="1"/>
  <c r="B757"/>
  <c r="K197"/>
  <c r="L197"/>
  <c r="F266" s="1"/>
  <c r="H555"/>
  <c r="R399"/>
  <c r="I555" s="1"/>
  <c r="L166"/>
  <c r="E266" s="1"/>
  <c r="K166"/>
  <c r="K129"/>
  <c r="L129"/>
  <c r="M231"/>
  <c r="L231"/>
  <c r="N231"/>
  <c r="G266" s="1"/>
  <c r="H266" s="1"/>
  <c r="O628"/>
  <c r="H628"/>
  <c r="K99"/>
  <c r="L99"/>
  <c r="S399"/>
  <c r="K459"/>
  <c r="M230"/>
  <c r="L230"/>
  <c r="N230"/>
  <c r="G265" s="1"/>
  <c r="R398"/>
  <c r="I554" s="1"/>
  <c r="H554"/>
  <c r="O627"/>
  <c r="H627"/>
  <c r="L98"/>
  <c r="K98"/>
  <c r="K196"/>
  <c r="L196"/>
  <c r="F265" s="1"/>
  <c r="K128"/>
  <c r="L128"/>
  <c r="B485"/>
  <c r="B660"/>
  <c r="B756"/>
  <c r="B692"/>
  <c r="B458"/>
  <c r="B726"/>
  <c r="L726" s="1"/>
  <c r="M726" s="1"/>
  <c r="N726" s="1"/>
  <c r="B398"/>
  <c r="B425" s="1"/>
  <c r="L165"/>
  <c r="E265" s="1"/>
  <c r="K165"/>
  <c r="S398"/>
  <c r="K458"/>
  <c r="L164"/>
  <c r="E264" s="1"/>
  <c r="K164"/>
  <c r="L127"/>
  <c r="K127"/>
  <c r="K97"/>
  <c r="L97"/>
  <c r="O626"/>
  <c r="H626"/>
  <c r="B484"/>
  <c r="B691"/>
  <c r="B725"/>
  <c r="L725" s="1"/>
  <c r="M725" s="1"/>
  <c r="N725" s="1"/>
  <c r="B457"/>
  <c r="B755"/>
  <c r="B397"/>
  <c r="B424" s="1"/>
  <c r="B659"/>
  <c r="M229"/>
  <c r="L229"/>
  <c r="N229"/>
  <c r="G264" s="1"/>
  <c r="K457"/>
  <c r="S397"/>
  <c r="K195"/>
  <c r="L195"/>
  <c r="F264" s="1"/>
  <c r="R397"/>
  <c r="I553" s="1"/>
  <c r="H553"/>
  <c r="H624"/>
  <c r="O624"/>
  <c r="H551"/>
  <c r="R395"/>
  <c r="I551" s="1"/>
  <c r="B482"/>
  <c r="B657"/>
  <c r="B455"/>
  <c r="B723"/>
  <c r="L723" s="1"/>
  <c r="M723" s="1"/>
  <c r="N723" s="1"/>
  <c r="B689"/>
  <c r="B753"/>
  <c r="B395"/>
  <c r="B422" s="1"/>
  <c r="L162"/>
  <c r="E262" s="1"/>
  <c r="K162"/>
  <c r="K95"/>
  <c r="L95"/>
  <c r="S395"/>
  <c r="K455"/>
  <c r="K193"/>
  <c r="L193"/>
  <c r="F262" s="1"/>
  <c r="L227"/>
  <c r="M227"/>
  <c r="N227"/>
  <c r="G262" s="1"/>
  <c r="H262" s="1"/>
  <c r="L125"/>
  <c r="K125"/>
  <c r="L228"/>
  <c r="M228"/>
  <c r="N228"/>
  <c r="G263" s="1"/>
  <c r="K194"/>
  <c r="L194"/>
  <c r="F263" s="1"/>
  <c r="K163"/>
  <c r="L163"/>
  <c r="E263" s="1"/>
  <c r="S396"/>
  <c r="K456"/>
  <c r="H552"/>
  <c r="R396"/>
  <c r="I552" s="1"/>
  <c r="L96"/>
  <c r="K96"/>
  <c r="K126"/>
  <c r="L126"/>
  <c r="B483"/>
  <c r="B456"/>
  <c r="B690"/>
  <c r="B658"/>
  <c r="B396"/>
  <c r="B423" s="1"/>
  <c r="B754"/>
  <c r="B724"/>
  <c r="L724" s="1"/>
  <c r="M724" s="1"/>
  <c r="N724" s="1"/>
  <c r="H625"/>
  <c r="O625"/>
  <c r="B481"/>
  <c r="B454"/>
  <c r="B722"/>
  <c r="L722" s="1"/>
  <c r="M722" s="1"/>
  <c r="N722" s="1"/>
  <c r="B394"/>
  <c r="B421" s="1"/>
  <c r="B656"/>
  <c r="B688"/>
  <c r="B752"/>
  <c r="L124"/>
  <c r="K124"/>
  <c r="S394"/>
  <c r="K454"/>
  <c r="L94"/>
  <c r="K94"/>
  <c r="L226"/>
  <c r="M226"/>
  <c r="N226"/>
  <c r="G261" s="1"/>
  <c r="H550"/>
  <c r="R394"/>
  <c r="I550" s="1"/>
  <c r="O623"/>
  <c r="H623"/>
  <c r="K192"/>
  <c r="L192"/>
  <c r="F261" s="1"/>
  <c r="K161"/>
  <c r="L161"/>
  <c r="E261" s="1"/>
  <c r="L29"/>
  <c r="H29"/>
  <c r="I29" s="1"/>
  <c r="G27"/>
  <c r="B26"/>
  <c r="C27"/>
  <c r="F27"/>
  <c r="H28"/>
  <c r="I28" s="1"/>
  <c r="L28"/>
  <c r="H265" l="1"/>
  <c r="H264"/>
  <c r="H263"/>
  <c r="H261"/>
  <c r="G272"/>
  <c r="G26"/>
  <c r="B25"/>
  <c r="F26"/>
  <c r="C26"/>
  <c r="H27"/>
  <c r="I27" s="1"/>
  <c r="L27"/>
  <c r="G25" l="1"/>
  <c r="B24"/>
  <c r="C25"/>
  <c r="F25"/>
  <c r="H26"/>
  <c r="I26" s="1"/>
  <c r="L26"/>
  <c r="G24" l="1"/>
  <c r="B23"/>
  <c r="C24"/>
  <c r="F24"/>
  <c r="H25"/>
  <c r="I25" s="1"/>
  <c r="L25"/>
  <c r="G23" l="1"/>
  <c r="B22"/>
  <c r="C23"/>
  <c r="F23"/>
  <c r="H24"/>
  <c r="I24" s="1"/>
  <c r="L24"/>
  <c r="G22" l="1"/>
  <c r="B21"/>
  <c r="F22"/>
  <c r="C22"/>
  <c r="H23"/>
  <c r="I23" s="1"/>
  <c r="L23"/>
  <c r="G21" l="1"/>
  <c r="B20"/>
  <c r="C21"/>
  <c r="F21"/>
  <c r="H22"/>
  <c r="I22" s="1"/>
  <c r="L22"/>
  <c r="G20" l="1"/>
  <c r="G34" s="1"/>
  <c r="C20"/>
  <c r="F20"/>
  <c r="F34" s="1"/>
  <c r="H21"/>
  <c r="I21" s="1"/>
  <c r="L21"/>
  <c r="H20" l="1"/>
  <c r="I20" s="1"/>
  <c r="L20"/>
  <c r="N20" s="1"/>
</calcChain>
</file>

<file path=xl/sharedStrings.xml><?xml version="1.0" encoding="utf-8"?>
<sst xmlns="http://schemas.openxmlformats.org/spreadsheetml/2006/main" count="4339" uniqueCount="645">
  <si>
    <t xml:space="preserve">GRIPS slats </t>
  </si>
  <si>
    <t xml:space="preserve">Tungsten Testing </t>
  </si>
  <si>
    <t>Sheet 1: Notes and protocalls</t>
  </si>
  <si>
    <t>Slat #</t>
  </si>
  <si>
    <t>Nominal Y</t>
  </si>
  <si>
    <t>Dimensions:</t>
  </si>
  <si>
    <t>A</t>
  </si>
  <si>
    <t>.015 in</t>
  </si>
  <si>
    <t>x(length ~ 8 in) x y (thickness, varies) x z (width ~ 1 in)</t>
  </si>
  <si>
    <t>B</t>
  </si>
  <si>
    <t>.020 in</t>
  </si>
  <si>
    <t>C</t>
  </si>
  <si>
    <t>.025 in</t>
  </si>
  <si>
    <t>D</t>
  </si>
  <si>
    <t>.030 in</t>
  </si>
  <si>
    <t>E</t>
  </si>
  <si>
    <t>.035 in</t>
  </si>
  <si>
    <t>F</t>
  </si>
  <si>
    <t>.040 in</t>
  </si>
  <si>
    <t>G</t>
  </si>
  <si>
    <t>.050 in</t>
  </si>
  <si>
    <t>H</t>
  </si>
  <si>
    <t>I</t>
  </si>
  <si>
    <t>.080 in</t>
  </si>
  <si>
    <t>J</t>
  </si>
  <si>
    <t>.125 in</t>
  </si>
  <si>
    <t>K</t>
  </si>
  <si>
    <t>.25 in</t>
  </si>
  <si>
    <t>Convention</t>
  </si>
  <si>
    <t xml:space="preserve">label (eg A5) is placed on front LHS, bottom corner. </t>
  </si>
  <si>
    <t>by definition, the label is in the +xz plane and its normal is along the +y axis</t>
  </si>
  <si>
    <t>C-K:</t>
  </si>
  <si>
    <t>A-B:</t>
  </si>
  <si>
    <t>Thickness measurements</t>
  </si>
  <si>
    <t>Width measurements</t>
  </si>
  <si>
    <t>Length measurements</t>
  </si>
  <si>
    <t>Along labeled side first, then unlabeled</t>
  </si>
  <si>
    <t>Along +x direction, from label to other end</t>
  </si>
  <si>
    <t>Along +x direction, from label to other end with the caliplers across the entire width</t>
  </si>
  <si>
    <t xml:space="preserve">Measure gradients in the thickness along the width and length. Use calipers to meaure 1/2 of width, alternate meaurements of labeled and unlabled sides starting at the origin. </t>
  </si>
  <si>
    <t>.381 mm</t>
  </si>
  <si>
    <t>0.508 mm</t>
  </si>
  <si>
    <t>0.635 mm</t>
  </si>
  <si>
    <t>0.762 mm</t>
  </si>
  <si>
    <t>0.889 mm</t>
  </si>
  <si>
    <t>1.016 mm</t>
  </si>
  <si>
    <t>1.27 mm</t>
  </si>
  <si>
    <t>1.524 mm</t>
  </si>
  <si>
    <t>2.032 mm</t>
  </si>
  <si>
    <t>3.175 mm</t>
  </si>
  <si>
    <t>6.35 mm</t>
  </si>
  <si>
    <t>Sheet 2: Shipments</t>
  </si>
  <si>
    <t xml:space="preserve">Shipment </t>
  </si>
  <si>
    <t xml:space="preserve">Arrival </t>
  </si>
  <si>
    <t>Vendor</t>
  </si>
  <si>
    <t>Mat'l</t>
  </si>
  <si>
    <t>Rhenium</t>
  </si>
  <si>
    <t>70/30 W/Cu</t>
  </si>
  <si>
    <t>Sheet 3: Measurements</t>
  </si>
  <si>
    <t>A Slats:</t>
  </si>
  <si>
    <t>Visual</t>
  </si>
  <si>
    <t>X: length</t>
  </si>
  <si>
    <t>Y: Thickness</t>
  </si>
  <si>
    <t>Z: Width</t>
  </si>
  <si>
    <t>X curvature</t>
  </si>
  <si>
    <t>weight</t>
  </si>
  <si>
    <t>B Slats:</t>
  </si>
  <si>
    <t>max grad</t>
  </si>
  <si>
    <t>C Slats:</t>
  </si>
  <si>
    <t>curvature</t>
  </si>
  <si>
    <t>Large stretch marks. Highly variable width</t>
  </si>
  <si>
    <t>The .66 is real</t>
  </si>
  <si>
    <t>Large stretch marks</t>
  </si>
  <si>
    <t>D Slats:</t>
  </si>
  <si>
    <t>small stretches</t>
  </si>
  <si>
    <t>crack? -xz plane along x-hat</t>
  </si>
  <si>
    <t>crack? along x-hat on +z side</t>
  </si>
  <si>
    <t>E Slats:</t>
  </si>
  <si>
    <t>crack? +xz plane, +z edge</t>
  </si>
  <si>
    <t>crack? -xz plane, along -z edge</t>
  </si>
  <si>
    <t>crack? Along lower z hat</t>
  </si>
  <si>
    <t>crack? Along lower x hat</t>
  </si>
  <si>
    <t>cracks? Along x axis</t>
  </si>
  <si>
    <t>crack? Xz plane, along upper z hat</t>
  </si>
  <si>
    <t>H Slats:</t>
  </si>
  <si>
    <t>I Slats:</t>
  </si>
  <si>
    <t>J Slats:</t>
  </si>
  <si>
    <t>K Slats:</t>
  </si>
  <si>
    <t>Y</t>
  </si>
  <si>
    <t>M</t>
  </si>
  <si>
    <t>Stats</t>
  </si>
  <si>
    <t>Concavity</t>
  </si>
  <si>
    <t>S SHAPE</t>
  </si>
  <si>
    <t>+Y</t>
  </si>
  <si>
    <t>-Y</t>
  </si>
  <si>
    <t>TOP IS BOTH</t>
  </si>
  <si>
    <t>TWISTED</t>
  </si>
  <si>
    <t>concavity</t>
  </si>
  <si>
    <t>1st batch</t>
  </si>
  <si>
    <t>UGLY OLD ONE</t>
  </si>
  <si>
    <t>.7mm</t>
  </si>
  <si>
    <t>shipment</t>
  </si>
  <si>
    <t>Eagle Alloys</t>
  </si>
  <si>
    <t>Total Pieces of Tungsten</t>
  </si>
  <si>
    <t>Matches order?</t>
  </si>
  <si>
    <t>Yes</t>
  </si>
  <si>
    <t>received:</t>
  </si>
  <si>
    <t>expected:</t>
  </si>
  <si>
    <t>Yes + extra</t>
  </si>
  <si>
    <t>density</t>
  </si>
  <si>
    <t>mean</t>
  </si>
  <si>
    <t>mode</t>
  </si>
  <si>
    <t>in</t>
  </si>
  <si>
    <t>mm</t>
  </si>
  <si>
    <t>Statistics</t>
  </si>
  <si>
    <t>Data:</t>
  </si>
  <si>
    <t>nominal</t>
  </si>
  <si>
    <t>sigma</t>
  </si>
  <si>
    <t>+ 1 sigma</t>
  </si>
  <si>
    <t>-1 sigma</t>
  </si>
  <si>
    <t>Eagle quote</t>
  </si>
  <si>
    <t>Data</t>
  </si>
  <si>
    <t>.060 in</t>
  </si>
  <si>
    <t>Y w/in 10%?    0=Yes</t>
  </si>
  <si>
    <t>Max + deviation</t>
  </si>
  <si>
    <t>Max - deviation</t>
  </si>
  <si>
    <t>+ max deviation</t>
  </si>
  <si>
    <t>- max deviation</t>
  </si>
  <si>
    <t>* w/o 1st batch outlier</t>
  </si>
  <si>
    <t>Sheet 19: Trends</t>
  </si>
  <si>
    <t>Width</t>
  </si>
  <si>
    <t>Max width</t>
  </si>
  <si>
    <t>Length</t>
  </si>
  <si>
    <t>Thickness</t>
  </si>
  <si>
    <t>Weight</t>
  </si>
  <si>
    <t>Density</t>
  </si>
  <si>
    <t>Here we examine aggregate properties of all the slats</t>
  </si>
  <si>
    <t>Min width</t>
  </si>
  <si>
    <t>Long Slats</t>
  </si>
  <si>
    <t>Max length</t>
  </si>
  <si>
    <t>Min length</t>
  </si>
  <si>
    <t>Short Slats</t>
  </si>
  <si>
    <t>All Slats</t>
  </si>
  <si>
    <t>+ deviation</t>
  </si>
  <si>
    <t>- deviation</t>
  </si>
  <si>
    <t>Y w/in 10%?0=Yes</t>
  </si>
  <si>
    <t>Bins</t>
  </si>
  <si>
    <t>Bin</t>
  </si>
  <si>
    <t>More</t>
  </si>
  <si>
    <t>Frequency</t>
  </si>
  <si>
    <t>Width Data</t>
  </si>
  <si>
    <t xml:space="preserve">Bins </t>
  </si>
  <si>
    <t>Long Length Data</t>
  </si>
  <si>
    <t>Short Lengths</t>
  </si>
  <si>
    <t xml:space="preserve">cutoff </t>
  </si>
  <si>
    <t>width &lt; 27mm?</t>
  </si>
  <si>
    <t>totals</t>
  </si>
  <si>
    <t>Rejection</t>
  </si>
  <si>
    <t>All cut values should be defined in this spreadsheet  page</t>
  </si>
  <si>
    <t>Cut Value</t>
  </si>
  <si>
    <t>N order</t>
  </si>
  <si>
    <t>N cut</t>
  </si>
  <si>
    <t>N data pts reject</t>
  </si>
  <si>
    <t>On each thickness group page, each slat is analyzed against cuts</t>
  </si>
  <si>
    <t>As</t>
  </si>
  <si>
    <t>Bs</t>
  </si>
  <si>
    <t>Es</t>
  </si>
  <si>
    <t>Fs</t>
  </si>
  <si>
    <t>Gs</t>
  </si>
  <si>
    <t>Ks</t>
  </si>
  <si>
    <t>N tot</t>
  </si>
  <si>
    <t>N needed</t>
  </si>
  <si>
    <t>Totals</t>
  </si>
  <si>
    <t>from MaskLayerSequence</t>
  </si>
  <si>
    <t>from Shipments</t>
  </si>
  <si>
    <t>N width cut</t>
  </si>
  <si>
    <t>N spare-no cut</t>
  </si>
  <si>
    <t xml:space="preserve">N spare-width cut </t>
  </si>
  <si>
    <t>Notes</t>
  </si>
  <si>
    <t>Long</t>
  </si>
  <si>
    <t>Short</t>
  </si>
  <si>
    <t>Here we define the maximum dimensions of the slats</t>
  </si>
  <si>
    <t>individual slat information is available  on the group page</t>
  </si>
  <si>
    <t>Sheet 21: Cuts</t>
  </si>
  <si>
    <t>General statistics are given for all the slats in a group on this page</t>
  </si>
  <si>
    <t>Define Max Dimensions:</t>
  </si>
  <si>
    <t>Sheet 20: Aggregate Data for all slats</t>
  </si>
  <si>
    <t>Bin numbers are upper bounds</t>
  </si>
  <si>
    <t>Nominal</t>
  </si>
  <si>
    <t>Nominal Value</t>
  </si>
  <si>
    <t>Average Value</t>
  </si>
  <si>
    <t>&lt; 0.1</t>
  </si>
  <si>
    <t>Marked with a 0 for acceptable and 1 for unacceptable</t>
  </si>
  <si>
    <t>All cut values and aggregate statistics are provided on the Cuts tab</t>
  </si>
  <si>
    <t>Make any changes to the blue boxes</t>
  </si>
  <si>
    <t>Make any changes to Max Dimensions here</t>
  </si>
  <si>
    <t>Length?</t>
  </si>
  <si>
    <t>N spare- width &amp; length cut</t>
  </si>
  <si>
    <t>N length cut</t>
  </si>
  <si>
    <t>Inventory after Cuts:</t>
  </si>
  <si>
    <t>Width Statistics</t>
  </si>
  <si>
    <t>N slats reject</t>
  </si>
  <si>
    <t>average value</t>
  </si>
  <si>
    <t>average gap</t>
  </si>
  <si>
    <t>Average</t>
  </si>
  <si>
    <t>Avg gap</t>
  </si>
  <si>
    <t>Max gap</t>
  </si>
  <si>
    <t>N Slats cut</t>
  </si>
  <si>
    <t>Long Slat Statistics</t>
  </si>
  <si>
    <t>Cutoff</t>
  </si>
  <si>
    <t>Short Statistics</t>
  </si>
  <si>
    <t>CutValue</t>
  </si>
  <si>
    <t>% y</t>
  </si>
  <si>
    <t>no Y</t>
  </si>
  <si>
    <t>Sheet 20: Thickness</t>
  </si>
  <si>
    <t>This sheet provides histograms for Slat Thicknesses</t>
  </si>
  <si>
    <t>Num</t>
  </si>
  <si>
    <t>dent in xz,-y</t>
  </si>
  <si>
    <t>dent xz,y</t>
  </si>
  <si>
    <t>edge at xy,-z</t>
  </si>
  <si>
    <t>Wt</t>
  </si>
  <si>
    <t>ρ</t>
  </si>
  <si>
    <t>Curvature?</t>
  </si>
  <si>
    <t>Curv?</t>
  </si>
  <si>
    <t>GRIPS slats</t>
  </si>
  <si>
    <t>Tungsten Testing</t>
  </si>
  <si>
    <t>Cs</t>
  </si>
  <si>
    <t>Nominal Slat</t>
  </si>
  <si>
    <t>Nominal Pitch</t>
  </si>
  <si>
    <t>Pitches / bundle</t>
  </si>
  <si>
    <t>Long Cycle Count</t>
  </si>
  <si>
    <t>Short Cycle Count</t>
  </si>
  <si>
    <t>Long blade count</t>
  </si>
  <si>
    <t>Short blade count</t>
  </si>
  <si>
    <t>Design Slat</t>
  </si>
  <si>
    <t>Nominal Spacer</t>
  </si>
  <si>
    <t>=inches</t>
  </si>
  <si>
    <t>inches</t>
  </si>
  <si>
    <t>=mm</t>
  </si>
  <si>
    <t>L</t>
  </si>
  <si>
    <t>TOTALS</t>
  </si>
  <si>
    <t>Pitches/Bundle</t>
  </si>
  <si>
    <t>From Gordon's MaskLayerSequence document:</t>
  </si>
  <si>
    <t>Hs</t>
  </si>
  <si>
    <t>Is</t>
  </si>
  <si>
    <t>Ms</t>
  </si>
  <si>
    <t>Bundle</t>
  </si>
  <si>
    <t>Nom Pitch</t>
  </si>
  <si>
    <t>Blades</t>
  </si>
  <si>
    <t>Slat Widths</t>
  </si>
  <si>
    <t>Assume design offset of 0.4 degrees (.0.5*.66 + 0.2 deg in quadrature)</t>
  </si>
  <si>
    <t xml:space="preserve">Design transverse shadow = tan(0.4)*25.4mm = </t>
  </si>
  <si>
    <t>in worst case.</t>
  </si>
  <si>
    <t>Design shadow (=50% of design shadow)</t>
  </si>
  <si>
    <t>Bundle Count</t>
  </si>
  <si>
    <t>Slat Code</t>
  </si>
  <si>
    <t>Ideal Spacer</t>
  </si>
  <si>
    <t>Std Spacers</t>
  </si>
  <si>
    <t>N spacers needed</t>
  </si>
  <si>
    <t xml:space="preserve">N spacers in </t>
  </si>
  <si>
    <t>Total, for ordering</t>
  </si>
  <si>
    <t>group, for ordering</t>
  </si>
  <si>
    <t xml:space="preserve">N spacers </t>
  </si>
  <si>
    <t>per bundle</t>
  </si>
  <si>
    <t>Case 1</t>
  </si>
  <si>
    <t>Case 2</t>
  </si>
  <si>
    <t>Total, on Grid</t>
  </si>
  <si>
    <t>Shadow</t>
  </si>
  <si>
    <t>over/under Nom?</t>
  </si>
  <si>
    <t>Case 1: Closest Spacer Value</t>
  </si>
  <si>
    <t>Was the extra spacer forgotten in the initial calculation???</t>
  </si>
  <si>
    <t>Slit/Pitch</t>
  </si>
  <si>
    <t>Slat Mean</t>
  </si>
  <si>
    <t>Case 2: Closest Bundle Thickness w/ extra spacer (minimize % error)</t>
  </si>
  <si>
    <t xml:space="preserve">Total Thickness  </t>
  </si>
  <si>
    <t>difference</t>
  </si>
  <si>
    <t xml:space="preserve">Total Thickness   </t>
  </si>
  <si>
    <t>Max total Thick</t>
  </si>
  <si>
    <t>Max Tot Thick</t>
  </si>
  <si>
    <t>Use the Mean</t>
  </si>
  <si>
    <t>Bundle Code</t>
  </si>
  <si>
    <t>Max tot Thick</t>
  </si>
  <si>
    <t>formula</t>
  </si>
  <si>
    <t>13+B</t>
  </si>
  <si>
    <t>13+Bs</t>
  </si>
  <si>
    <t>13+Cs</t>
  </si>
  <si>
    <t>13+C</t>
  </si>
  <si>
    <t>13+D</t>
  </si>
  <si>
    <t>13+E</t>
  </si>
  <si>
    <t>13+F</t>
  </si>
  <si>
    <t>13+H</t>
  </si>
  <si>
    <t>13+Hs</t>
  </si>
  <si>
    <t>13+G or +Gs</t>
  </si>
  <si>
    <t>13+I</t>
  </si>
  <si>
    <t>13+Is</t>
  </si>
  <si>
    <t>13+J</t>
  </si>
  <si>
    <t>13+K</t>
  </si>
  <si>
    <t>13+L</t>
  </si>
  <si>
    <t>13+M or +Ms</t>
  </si>
  <si>
    <t>13+A</t>
  </si>
  <si>
    <t>13+As</t>
  </si>
  <si>
    <t>Difference</t>
  </si>
  <si>
    <t xml:space="preserve">Avg. Slat </t>
  </si>
  <si>
    <t>Std Spacers 1</t>
  </si>
  <si>
    <t>Tot Thickness</t>
  </si>
  <si>
    <t>Std Spacers 2</t>
  </si>
  <si>
    <t>Slit/ pitch</t>
  </si>
  <si>
    <t>no shadow</t>
  </si>
  <si>
    <t>Slit/pitch</t>
  </si>
  <si>
    <t>max shadow</t>
  </si>
  <si>
    <t>Total Too thick?</t>
  </si>
  <si>
    <t>Ok on total thickness, but the</t>
  </si>
  <si>
    <t>sum of the pitches is less than 13mm</t>
  </si>
  <si>
    <t>so there will be somewhat large gaps</t>
  </si>
  <si>
    <t>between the bundles</t>
  </si>
  <si>
    <t>Ideal Spacers</t>
  </si>
  <si>
    <t>Total Thickness</t>
  </si>
  <si>
    <t>Case 3: Ideal Spacer values</t>
  </si>
  <si>
    <t>Spacers</t>
  </si>
  <si>
    <t xml:space="preserve">Max tot Thick </t>
  </si>
  <si>
    <t>Tot Pitch Thickness</t>
  </si>
  <si>
    <t>Total too thick?</t>
  </si>
  <si>
    <t>Lots of interference</t>
  </si>
  <si>
    <t>from bundles being too big</t>
  </si>
  <si>
    <t>Case 3</t>
  </si>
  <si>
    <t>Nominal Values</t>
  </si>
  <si>
    <t>Should I use the Mean or the Mode?</t>
  </si>
  <si>
    <t>Max Shadow is defined as .18mm</t>
  </si>
  <si>
    <r>
      <t>No. 13mm is the nomial total</t>
    </r>
    <r>
      <rPr>
        <i/>
        <sz val="11"/>
        <color theme="1"/>
        <rFont val="Calibri"/>
        <family val="2"/>
        <scheme val="minor"/>
      </rPr>
      <t xml:space="preserve"> pitch</t>
    </r>
    <r>
      <rPr>
        <sz val="11"/>
        <color theme="1"/>
        <rFont val="Calibri"/>
        <family val="2"/>
        <scheme val="minor"/>
      </rPr>
      <t xml:space="preserve"> thickness</t>
    </r>
  </si>
  <si>
    <t xml:space="preserve">The coarsest bundle is only over </t>
  </si>
  <si>
    <t>by 3 microns</t>
  </si>
  <si>
    <t>8/14/2012 Summary Table for Gordon</t>
  </si>
  <si>
    <t>This detailed view is summarized in a table below.</t>
  </si>
  <si>
    <t>8/14/2012 Spacer Calculation</t>
  </si>
  <si>
    <t>*** 8/15/2012 This combination is chosen</t>
  </si>
  <si>
    <t>GRIPS Slats and Spacer Nominal Values</t>
  </si>
  <si>
    <t>Tolerance</t>
  </si>
  <si>
    <t>To Tolerance</t>
  </si>
  <si>
    <t>Total Thick</t>
  </si>
  <si>
    <t>Maximum Spacer</t>
  </si>
  <si>
    <t>Ideal Values</t>
  </si>
  <si>
    <t>Minimum Spacer Value</t>
  </si>
  <si>
    <t>Spacer</t>
  </si>
  <si>
    <t>Option 1: "Best" Machining Case of Tolerance .001 inches</t>
  </si>
  <si>
    <t>Option 2: Grinding House Case of Tolerance .0005 inches</t>
  </si>
  <si>
    <t>Too Thick?</t>
  </si>
  <si>
    <t>Too thick?</t>
  </si>
  <si>
    <t>For "Good" Machine Shop Tolerance = .001 inch</t>
  </si>
  <si>
    <t>Gap</t>
  </si>
  <si>
    <t xml:space="preserve">Gap </t>
  </si>
  <si>
    <t>Min Pitch Thickness</t>
  </si>
  <si>
    <t xml:space="preserve">min value </t>
  </si>
  <si>
    <t xml:space="preserve">Slit/Pitch </t>
  </si>
  <si>
    <t>max value</t>
  </si>
  <si>
    <t>For Grind Shop Tolerance = .0005 inch</t>
  </si>
  <si>
    <t>Total thickness for</t>
  </si>
  <si>
    <t>max spacer, to big?</t>
  </si>
  <si>
    <t>Table which shows the Ideal spacers with tolerances provided by A Machine Shop vs A Grind Shop</t>
  </si>
  <si>
    <t>Almost a mm gap!</t>
  </si>
  <si>
    <t>Nearly half a mm gap</t>
  </si>
  <si>
    <t>Best fit spacer</t>
  </si>
  <si>
    <t>What if the Maximum thickness that matters is the total pitch thickness &lt;= 13mm?</t>
  </si>
  <si>
    <t>Max Pitch Thickness</t>
  </si>
  <si>
    <t>We choose the Grind shop option</t>
  </si>
  <si>
    <t>Code</t>
  </si>
  <si>
    <t>Spacer Thickness</t>
  </si>
  <si>
    <t>needed</t>
  </si>
  <si>
    <t>N clamping</t>
  </si>
  <si>
    <t>points</t>
  </si>
  <si>
    <t>(Number of pitches +1)*Number of clamp points</t>
  </si>
  <si>
    <t>2 for short slats</t>
  </si>
  <si>
    <t>3 for long slats</t>
  </si>
  <si>
    <t>N spacers</t>
  </si>
  <si>
    <t>incl 10% spare</t>
  </si>
  <si>
    <t xml:space="preserve">Bundle </t>
  </si>
  <si>
    <t>The values are tied to the slat thicknesses, not the bundle sizes</t>
  </si>
  <si>
    <t>Slat</t>
  </si>
  <si>
    <t>Smallest</t>
  </si>
  <si>
    <t>Washers are  smaller than the thinnest slat by the tolerance that the washers will be machined by</t>
  </si>
  <si>
    <t>Washer</t>
  </si>
  <si>
    <t>washer tolerance</t>
  </si>
  <si>
    <t>Washer Thickness</t>
  </si>
  <si>
    <t>N washers</t>
  </si>
  <si>
    <t xml:space="preserve">Slat </t>
  </si>
  <si>
    <t>Largest</t>
  </si>
  <si>
    <t>Excluded two slats that were abnormally small</t>
  </si>
  <si>
    <t>These don' t bend much, so excluded two extremely small measurements</t>
  </si>
  <si>
    <t>N to Order</t>
  </si>
  <si>
    <t>Spacer Order List</t>
  </si>
  <si>
    <t>Washer Order List</t>
  </si>
  <si>
    <t>incl 20% spare</t>
  </si>
  <si>
    <t>GRIPS Spacer and Washer worksheet</t>
  </si>
  <si>
    <t>Washers can be sent to a normal machine shop with a tolerance of .001 inches</t>
  </si>
  <si>
    <t>The table is organized so that the size of washer and spacer for each bundle type is shown</t>
  </si>
  <si>
    <t>The table is grouped so that it can be seen when the same sized washer or spacer is being used for multiple different bundle types</t>
  </si>
  <si>
    <t>The Spacers should be sent to a grind house for a tolerance of .0005 inches</t>
  </si>
  <si>
    <t>Spacers II</t>
  </si>
  <si>
    <t>Spacers I</t>
  </si>
  <si>
    <t>Purpose: Incorporate changes to the spacers from 10/11/2012 mtg with BD, GH, ND</t>
  </si>
  <si>
    <t xml:space="preserve">Changes: </t>
  </si>
  <si>
    <t>Ease tolerancing to .001 inch</t>
  </si>
  <si>
    <t xml:space="preserve">Use smaller spacers at edges to fit the bundle into the maximum 13.1mm space. </t>
  </si>
  <si>
    <t xml:space="preserve">Purpose:This section provides a spreadsheet which is useful in determining if our requirements can be met by a Machine shop alone, or if we require the </t>
  </si>
  <si>
    <t>tolerances which are available at a grind house.  9/25/2012</t>
  </si>
  <si>
    <t>This document studies the effect of spacer values and maximum tolerance.</t>
  </si>
  <si>
    <t>Allowable</t>
  </si>
  <si>
    <t>Grind shop too expensive</t>
  </si>
  <si>
    <t xml:space="preserve">Max total </t>
  </si>
  <si>
    <t>Max Sized Spacer</t>
  </si>
  <si>
    <t>too big?</t>
  </si>
  <si>
    <t>Sum of pitches</t>
  </si>
  <si>
    <t>Pitches</t>
  </si>
  <si>
    <t>Total thickness</t>
  </si>
  <si>
    <t>Max tot thick</t>
  </si>
  <si>
    <t>too Thick?</t>
  </si>
  <si>
    <t>Max Pitch</t>
  </si>
  <si>
    <t>thickness</t>
  </si>
  <si>
    <t>Method</t>
  </si>
  <si>
    <t>1. Find ideal spacer size</t>
  </si>
  <si>
    <t>2. add tolerance</t>
  </si>
  <si>
    <t>3. find sum of pitches with spacers</t>
  </si>
  <si>
    <t>5. find max bundle size</t>
  </si>
  <si>
    <t>A: Spacers same thickness</t>
  </si>
  <si>
    <t>B: 1st spacer is A</t>
  </si>
  <si>
    <t>except M&amp;Ms</t>
  </si>
  <si>
    <t>Bundles</t>
  </si>
  <si>
    <t>13.1+B</t>
  </si>
  <si>
    <t>13.1+Bs</t>
  </si>
  <si>
    <t>13.1+C</t>
  </si>
  <si>
    <t>13.1+Cs</t>
  </si>
  <si>
    <t>13.1+D</t>
  </si>
  <si>
    <t>13.1+E</t>
  </si>
  <si>
    <t>13.1+F</t>
  </si>
  <si>
    <t>13.1+G or +Gs</t>
  </si>
  <si>
    <t>13.1+H</t>
  </si>
  <si>
    <t>13.1+Hs</t>
  </si>
  <si>
    <t>13.1+I</t>
  </si>
  <si>
    <t>13.1+Is</t>
  </si>
  <si>
    <t>13.1+J</t>
  </si>
  <si>
    <t>13.1+K</t>
  </si>
  <si>
    <t>13.1+L</t>
  </si>
  <si>
    <t>13.1+M or +Ms</t>
  </si>
  <si>
    <t>13.1+A</t>
  </si>
  <si>
    <t>13.1+As</t>
  </si>
  <si>
    <t>13.1 + A</t>
  </si>
  <si>
    <t>B: 1st &amp; last spacer is A</t>
  </si>
  <si>
    <t>A: Spacers in bundle are same thickness</t>
  </si>
  <si>
    <t>Summary Table</t>
  </si>
  <si>
    <t>Reality Spacer</t>
  </si>
  <si>
    <t>Ideal Pitch</t>
  </si>
  <si>
    <t xml:space="preserve">Average Pitch </t>
  </si>
  <si>
    <t>1st and last spacers are "A"</t>
  </si>
  <si>
    <t xml:space="preserve">This chart gives values in the limit of "A" spacers, but not all bundles require spacer subsitution. </t>
  </si>
  <si>
    <t>Maximum Pitch Size is 13.1mm</t>
  </si>
  <si>
    <t xml:space="preserve">Maximum Total Thickness is 13.1 + next spacer value. This is an "A" spacer in all cases below. </t>
  </si>
  <si>
    <t>The values are for spacers at maximum tolerance (+.0254 mm)</t>
  </si>
  <si>
    <t xml:space="preserve">Notes: </t>
  </si>
  <si>
    <t>** For nominal Spacers</t>
  </si>
  <si>
    <t>4. try replacing 1st spacer to make pitches fit into 13.1mm</t>
  </si>
  <si>
    <t>6.try replacing last spacer to make pitches fit</t>
  </si>
  <si>
    <t>1st Spacer</t>
  </si>
  <si>
    <t>from bundle</t>
  </si>
  <si>
    <t>C: if too big, 1st is previous</t>
  </si>
  <si>
    <t>C: Spacers from "C" &amp; last A</t>
  </si>
  <si>
    <t>Total thick</t>
  </si>
  <si>
    <t>Checking the maximum limits: Sum of pitches and total thickness</t>
  </si>
  <si>
    <t>Sum of Pitches</t>
  </si>
  <si>
    <t>Pitch Gap</t>
  </si>
  <si>
    <t>Total Gap</t>
  </si>
  <si>
    <t>A gap+B spacer</t>
  </si>
  <si>
    <t>As gap +Bs spacer</t>
  </si>
  <si>
    <t>B gap +C spacer</t>
  </si>
  <si>
    <t>+Cs</t>
  </si>
  <si>
    <t>Formula</t>
  </si>
  <si>
    <t>Too Big?</t>
  </si>
  <si>
    <t>Ideal Gap</t>
  </si>
  <si>
    <t>Gaps</t>
  </si>
  <si>
    <t>Gap Maximum</t>
  </si>
  <si>
    <t>Spacers I: adjust spacer size</t>
  </si>
  <si>
    <t>Spacers II: use different bundle spacer</t>
  </si>
  <si>
    <t>Checking Nominal Gap</t>
  </si>
  <si>
    <t>This much bigger</t>
  </si>
  <si>
    <t>Now adjust spacer sizes in bundles that are too big</t>
  </si>
  <si>
    <t>tolerance</t>
  </si>
  <si>
    <t>Slats to tol</t>
  </si>
  <si>
    <t>Pitches exceed</t>
  </si>
  <si>
    <t>maximum?</t>
  </si>
  <si>
    <t>replace 1st spacer</t>
  </si>
  <si>
    <t>with..</t>
  </si>
  <si>
    <t>Z</t>
  </si>
  <si>
    <t>Changed Ms, H, Hs</t>
  </si>
  <si>
    <t>all spacers same thickness</t>
  </si>
  <si>
    <t>replacement</t>
  </si>
  <si>
    <t>spacer</t>
  </si>
  <si>
    <t>Spacer Values</t>
  </si>
  <si>
    <t>A: All Nominal Values, no changes</t>
  </si>
  <si>
    <t>B: Shrink Spacer Sizes to fit 13mm</t>
  </si>
  <si>
    <t>C: Resizing, replacing 1st spacer where needed to fit 13mm and introducing new spacer value</t>
  </si>
  <si>
    <t>A vs B vs C: Which method fits the gap better?</t>
  </si>
  <si>
    <t>A Spacer</t>
  </si>
  <si>
    <t>B Spacer</t>
  </si>
  <si>
    <t>C Spacer</t>
  </si>
  <si>
    <t>Gap % overage</t>
  </si>
  <si>
    <t>than max</t>
  </si>
  <si>
    <t>Size OK?</t>
  </si>
  <si>
    <t>Closest Fit?</t>
  </si>
  <si>
    <t>**This is not automatically programmed</t>
  </si>
  <si>
    <t>** this is not automatically programmed</t>
  </si>
  <si>
    <t>Next spacer</t>
  </si>
  <si>
    <t>is</t>
  </si>
  <si>
    <t>min?</t>
  </si>
  <si>
    <t xml:space="preserve">Bigger than </t>
  </si>
  <si>
    <t>We can do better with the C method</t>
  </si>
  <si>
    <t>We don’t use Z spacers yet</t>
  </si>
  <si>
    <t xml:space="preserve">The strategy is to replace N spacers in a bundle with smaller values. </t>
  </si>
  <si>
    <t>-20</t>
  </si>
  <si>
    <t>Histogram</t>
  </si>
  <si>
    <t>For C, now check if we can do OK at maximum values</t>
  </si>
  <si>
    <t>For C, what is the distribution of gaps?</t>
  </si>
  <si>
    <t>N ideal gaps</t>
  </si>
  <si>
    <t>N gaps &lt;= 5%</t>
  </si>
  <si>
    <t>N gaps &gt; 5%</t>
  </si>
  <si>
    <t>For C, now check how much spacer overage we can tolerate</t>
  </si>
  <si>
    <t>Without replacing our spacer scheme. Idea is to help with ordering</t>
  </si>
  <si>
    <t>Overage</t>
  </si>
  <si>
    <t>Max Tol</t>
  </si>
  <si>
    <t>all same spacers</t>
  </si>
  <si>
    <t>This sheet provides the spacer values and required numbers</t>
  </si>
  <si>
    <t>The inter-bundle gap should be ~ adjacent bundle spacer thickness</t>
  </si>
  <si>
    <t>10/11/2012: Changes made to spacer sizes and quantities</t>
  </si>
  <si>
    <t>Washers ordered according to below specifications</t>
  </si>
  <si>
    <t>9/11/2012: Order sheet submitted to Bill D</t>
  </si>
  <si>
    <t>10/22/2012: This order sheet submitted to Bill D</t>
  </si>
  <si>
    <t>Spacers have a tolerance of .001 inches</t>
  </si>
  <si>
    <t>From 1st Spacer</t>
  </si>
  <si>
    <t xml:space="preserve">Spacer </t>
  </si>
  <si>
    <t>Spacer Value</t>
  </si>
  <si>
    <t xml:space="preserve">Totals for </t>
  </si>
  <si>
    <t>thickness group</t>
  </si>
  <si>
    <t>N Clamping points</t>
  </si>
  <si>
    <t>Final Spacers: the final spacer of finer bundle must be smaller than the 1st spacer of coarser bundle</t>
  </si>
  <si>
    <t>Since we shrunk the 1st spacer of some bundles, and B bundles are thinnner than A, we must adjust the last spacer</t>
  </si>
  <si>
    <t>From N-1 Pitches</t>
  </si>
  <si>
    <t>From Final Spacer</t>
  </si>
  <si>
    <t>last spacer</t>
  </si>
  <si>
    <t>code</t>
  </si>
  <si>
    <t>Lets just make all the final spacers equal to the smallest spacer.</t>
  </si>
  <si>
    <t>This way the requirement is always met</t>
  </si>
  <si>
    <t xml:space="preserve">N-1 spacers </t>
  </si>
  <si>
    <t>N Pitches</t>
  </si>
  <si>
    <t>needed tot</t>
  </si>
  <si>
    <t>For all Bundles, regardless of spacer size</t>
  </si>
  <si>
    <t xml:space="preserve">N per </t>
  </si>
  <si>
    <t>group</t>
  </si>
  <si>
    <t>N to order</t>
  </si>
  <si>
    <t>incl spares</t>
  </si>
  <si>
    <t>Including 5% spares</t>
  </si>
  <si>
    <t>N to order assumes the machined rectangular spacer (NOT fender washers)</t>
  </si>
  <si>
    <t>GRIPS Spacer Worksheet</t>
  </si>
  <si>
    <t>Spacer Thick</t>
  </si>
  <si>
    <t>Purpose: Incorporate changes to the spacers from 10/24/2012 email from BD</t>
  </si>
  <si>
    <t>Tolerancing can handle .0005 inches</t>
  </si>
  <si>
    <t>B: Shrinking some values</t>
  </si>
  <si>
    <t>From N  Pitches</t>
  </si>
  <si>
    <t>10/25/2012: This order sheet submitted to Bill D</t>
  </si>
  <si>
    <t>Spacers have a tolerance of .0005 inches</t>
  </si>
  <si>
    <t>Including &lt;5% spares</t>
  </si>
  <si>
    <t>12/13/2012: This order sheet submitted to Bill D</t>
  </si>
  <si>
    <t>GRIPS Re-order Washer Worksheet</t>
  </si>
  <si>
    <t>Washers have a tolerance of .001 inches</t>
  </si>
  <si>
    <t>The table is organized so that the size of washer  for each bundle type is shown</t>
  </si>
  <si>
    <t>The table is grouped so that it can be seen when the same sized washer is being used for multiple different bundle types</t>
  </si>
  <si>
    <t>N per</t>
  </si>
  <si>
    <t>clamp point</t>
  </si>
  <si>
    <t>How many needed for complete grid</t>
  </si>
  <si>
    <t>This is how many we need of each size</t>
  </si>
  <si>
    <t xml:space="preserve">N washers </t>
  </si>
  <si>
    <t>for bundle</t>
  </si>
  <si>
    <t>per size</t>
  </si>
  <si>
    <t xml:space="preserve">Washer </t>
  </si>
  <si>
    <t>N</t>
  </si>
  <si>
    <t>ordered</t>
  </si>
  <si>
    <t>How many we need to finish grid</t>
  </si>
  <si>
    <t xml:space="preserve">N total </t>
  </si>
  <si>
    <t>N to finish</t>
  </si>
  <si>
    <t>incl spare</t>
  </si>
  <si>
    <t>Bundle Assembly page</t>
  </si>
  <si>
    <t>Here we describe the mapping of what pieces go into which bundles</t>
  </si>
  <si>
    <t>N blades</t>
  </si>
  <si>
    <t>Thickness (in)</t>
  </si>
  <si>
    <t xml:space="preserve">Pitch Spacer </t>
  </si>
  <si>
    <t>Last Spacer</t>
  </si>
  <si>
    <t xml:space="preserve">N </t>
  </si>
  <si>
    <t>Bundles on the Mask</t>
  </si>
  <si>
    <t>First Spacer Side</t>
  </si>
  <si>
    <t xml:space="preserve">Last Spacer </t>
  </si>
  <si>
    <t>on this side</t>
  </si>
  <si>
    <t>Caution: The spacer and washer sizes are not the same in each bundle</t>
  </si>
  <si>
    <t>A sleeve and a screw thread the washers and spacers</t>
  </si>
  <si>
    <t>The screw enters from the last spacer side</t>
  </si>
  <si>
    <t>and uses the block as a nut</t>
  </si>
  <si>
    <t xml:space="preserve">so that the counter-bored screw hole faces the bundle, </t>
  </si>
  <si>
    <t>serving as a seat for the sleeve. The tapped blind hole</t>
  </si>
  <si>
    <t>reference to the above drawing).</t>
  </si>
  <si>
    <t>The block's lip faces away from the bundle (up or down)</t>
  </si>
  <si>
    <t xml:space="preserve">is then oriented away from the bundle (up or down in  </t>
  </si>
  <si>
    <t>Bundle  Tracking Sheet</t>
  </si>
  <si>
    <t>1. Do cuts on the slats &amp; set rejected slats aside</t>
  </si>
  <si>
    <t>2. Can we safely assume all spacers &amp; washers are uniform?</t>
  </si>
  <si>
    <t xml:space="preserve">3. When we can't avoid using slats are bent too much, </t>
  </si>
  <si>
    <t>Place straighter slats at ends and more curved slats toward the center</t>
  </si>
  <si>
    <t>Align the slats so the concaivity is facing the same direction</t>
  </si>
  <si>
    <t>5. do visual inspection of uniformity</t>
  </si>
  <si>
    <t>6. Measure the sum of the pitches</t>
  </si>
  <si>
    <t>4. record the slats going into each bundle</t>
  </si>
  <si>
    <t>7. Label each bundle</t>
  </si>
  <si>
    <t>For Housekeeping Bundle Assemblies</t>
  </si>
  <si>
    <t>Number</t>
  </si>
  <si>
    <t>Position</t>
  </si>
  <si>
    <t>A Bundles</t>
  </si>
  <si>
    <t xml:space="preserve">Cuts- </t>
  </si>
  <si>
    <t xml:space="preserve">1. Cuts based on size </t>
  </si>
  <si>
    <t>2. Cut based on curvature</t>
  </si>
  <si>
    <t>3. Flag cuts as red on its slat page</t>
  </si>
  <si>
    <t>Bundle: A1</t>
  </si>
  <si>
    <t>Bundle: A2</t>
  </si>
  <si>
    <t>Bundle: A3</t>
  </si>
  <si>
    <t>Bundle: A4</t>
  </si>
  <si>
    <t>Cuts</t>
  </si>
  <si>
    <t>b/c of curvature</t>
  </si>
  <si>
    <t>width</t>
  </si>
  <si>
    <t>gradient</t>
  </si>
  <si>
    <t>curv</t>
  </si>
  <si>
    <t>grad</t>
  </si>
  <si>
    <t>thickness outlier</t>
  </si>
  <si>
    <t>crack and grad</t>
  </si>
  <si>
    <t xml:space="preserve">Arrange with other large gradient slats </t>
  </si>
  <si>
    <t>twist</t>
  </si>
  <si>
    <t>if bad exchange with another one</t>
  </si>
  <si>
    <t>if very twisted get rid of instead of 4</t>
  </si>
  <si>
    <t>cuts</t>
  </si>
  <si>
    <t>grad and thickness</t>
  </si>
  <si>
    <t>Thick and grad</t>
  </si>
  <si>
    <t>Gradient</t>
  </si>
  <si>
    <t>Protocol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</si>
</sst>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"/>
    <numFmt numFmtId="166" formatCode="0.0000"/>
  </numFmts>
  <fonts count="2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1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u/>
      <sz val="1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20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8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dashDot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12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0" xfId="0" applyFont="1"/>
    <xf numFmtId="0" fontId="0" fillId="0" borderId="3" xfId="0" applyBorder="1"/>
    <xf numFmtId="0" fontId="0" fillId="0" borderId="4" xfId="0" applyBorder="1"/>
    <xf numFmtId="0" fontId="0" fillId="0" borderId="3" xfId="0" applyFill="1" applyBorder="1"/>
    <xf numFmtId="15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Border="1"/>
    <xf numFmtId="164" fontId="0" fillId="0" borderId="0" xfId="0" applyNumberFormat="1"/>
    <xf numFmtId="2" fontId="0" fillId="0" borderId="0" xfId="0" applyNumberFormat="1" applyBorder="1"/>
    <xf numFmtId="2" fontId="0" fillId="0" borderId="0" xfId="0" applyNumberFormat="1" applyFill="1" applyBorder="1" applyAlignment="1">
      <alignment wrapText="1"/>
    </xf>
    <xf numFmtId="0" fontId="0" fillId="0" borderId="0" xfId="0" applyFill="1" applyBorder="1"/>
    <xf numFmtId="2" fontId="0" fillId="0" borderId="0" xfId="0" applyNumberFormat="1" applyFill="1" applyBorder="1"/>
    <xf numFmtId="2" fontId="0" fillId="0" borderId="0" xfId="0" applyNumberFormat="1"/>
    <xf numFmtId="2" fontId="1" fillId="0" borderId="0" xfId="0" applyNumberFormat="1" applyFont="1" applyAlignment="1">
      <alignment wrapText="1"/>
    </xf>
    <xf numFmtId="2" fontId="1" fillId="0" borderId="0" xfId="0" applyNumberFormat="1" applyFont="1" applyBorder="1" applyAlignment="1">
      <alignment wrapText="1"/>
    </xf>
    <xf numFmtId="0" fontId="3" fillId="0" borderId="0" xfId="0" applyNumberFormat="1" applyFont="1" applyFill="1" applyBorder="1" applyAlignment="1">
      <alignment wrapText="1"/>
    </xf>
    <xf numFmtId="4" fontId="3" fillId="0" borderId="0" xfId="0" applyNumberFormat="1" applyFont="1" applyFill="1" applyBorder="1" applyAlignment="1">
      <alignment wrapText="1"/>
    </xf>
    <xf numFmtId="4" fontId="4" fillId="0" borderId="0" xfId="0" applyNumberFormat="1" applyFont="1" applyFill="1" applyBorder="1" applyAlignment="1"/>
    <xf numFmtId="0" fontId="4" fillId="0" borderId="0" xfId="0" applyNumberFormat="1" applyFont="1" applyFill="1" applyAlignment="1"/>
    <xf numFmtId="0" fontId="4" fillId="0" borderId="0" xfId="0" applyNumberFormat="1" applyFont="1" applyFill="1" applyBorder="1" applyAlignment="1"/>
    <xf numFmtId="0" fontId="3" fillId="0" borderId="0" xfId="0" quotePrefix="1" applyNumberFormat="1" applyFont="1" applyFill="1" applyBorder="1" applyAlignment="1">
      <alignment wrapText="1"/>
    </xf>
    <xf numFmtId="1" fontId="0" fillId="0" borderId="0" xfId="0" applyNumberFormat="1"/>
    <xf numFmtId="164" fontId="3" fillId="0" borderId="0" xfId="0" applyNumberFormat="1" applyFont="1" applyBorder="1" applyAlignment="1">
      <alignment vertical="center"/>
    </xf>
    <xf numFmtId="164" fontId="3" fillId="0" borderId="0" xfId="0" applyNumberFormat="1" applyFont="1" applyAlignment="1">
      <alignment vertical="center"/>
    </xf>
    <xf numFmtId="0" fontId="0" fillId="0" borderId="0" xfId="0" quotePrefix="1"/>
    <xf numFmtId="4" fontId="0" fillId="0" borderId="0" xfId="0" applyNumberFormat="1"/>
    <xf numFmtId="0" fontId="0" fillId="0" borderId="5" xfId="0" applyBorder="1"/>
    <xf numFmtId="0" fontId="0" fillId="0" borderId="6" xfId="0" applyBorder="1"/>
    <xf numFmtId="2" fontId="0" fillId="0" borderId="6" xfId="0" applyNumberFormat="1" applyBorder="1" applyAlignment="1">
      <alignment wrapText="1"/>
    </xf>
    <xf numFmtId="0" fontId="0" fillId="0" borderId="6" xfId="0" applyBorder="1" applyAlignment="1">
      <alignment wrapText="1"/>
    </xf>
    <xf numFmtId="164" fontId="0" fillId="0" borderId="0" xfId="0" applyNumberFormat="1" applyBorder="1"/>
    <xf numFmtId="164" fontId="0" fillId="0" borderId="6" xfId="0" applyNumberFormat="1" applyBorder="1"/>
    <xf numFmtId="0" fontId="2" fillId="0" borderId="0" xfId="0" applyFont="1" applyBorder="1"/>
    <xf numFmtId="164" fontId="0" fillId="0" borderId="0" xfId="0" applyNumberFormat="1" applyAlignment="1">
      <alignment horizontal="center" wrapText="1"/>
    </xf>
    <xf numFmtId="164" fontId="0" fillId="0" borderId="2" xfId="0" applyNumberFormat="1" applyBorder="1"/>
    <xf numFmtId="0" fontId="5" fillId="0" borderId="8" xfId="0" applyFont="1" applyFill="1" applyBorder="1" applyAlignment="1">
      <alignment horizontal="center"/>
    </xf>
    <xf numFmtId="1" fontId="0" fillId="0" borderId="3" xfId="0" applyNumberFormat="1" applyBorder="1"/>
    <xf numFmtId="164" fontId="0" fillId="0" borderId="1" xfId="0" applyNumberFormat="1" applyBorder="1"/>
    <xf numFmtId="164" fontId="0" fillId="0" borderId="10" xfId="0" applyNumberFormat="1" applyBorder="1" applyAlignment="1">
      <alignment wrapText="1"/>
    </xf>
    <xf numFmtId="1" fontId="0" fillId="0" borderId="9" xfId="0" applyNumberFormat="1" applyBorder="1"/>
    <xf numFmtId="0" fontId="0" fillId="0" borderId="9" xfId="0" applyBorder="1"/>
    <xf numFmtId="0" fontId="0" fillId="0" borderId="10" xfId="0" applyBorder="1"/>
    <xf numFmtId="0" fontId="6" fillId="2" borderId="0" xfId="0" applyFont="1" applyFill="1"/>
    <xf numFmtId="0" fontId="0" fillId="0" borderId="13" xfId="0" applyBorder="1"/>
    <xf numFmtId="0" fontId="7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wrapText="1"/>
    </xf>
    <xf numFmtId="1" fontId="8" fillId="0" borderId="4" xfId="0" applyNumberFormat="1" applyFont="1" applyFill="1" applyBorder="1" applyAlignment="1">
      <alignment wrapText="1"/>
    </xf>
    <xf numFmtId="1" fontId="8" fillId="0" borderId="3" xfId="0" applyNumberFormat="1" applyFont="1" applyFill="1" applyBorder="1" applyAlignment="1">
      <alignment wrapText="1"/>
    </xf>
    <xf numFmtId="2" fontId="8" fillId="0" borderId="0" xfId="0" applyNumberFormat="1" applyFont="1" applyFill="1" applyBorder="1" applyAlignment="1">
      <alignment wrapText="1"/>
    </xf>
    <xf numFmtId="2" fontId="8" fillId="0" borderId="0" xfId="0" applyNumberFormat="1" applyFont="1" applyFill="1" applyAlignment="1">
      <alignment wrapText="1"/>
    </xf>
    <xf numFmtId="0" fontId="0" fillId="0" borderId="0" xfId="0" applyFont="1"/>
    <xf numFmtId="2" fontId="8" fillId="0" borderId="4" xfId="0" applyNumberFormat="1" applyFont="1" applyFill="1" applyBorder="1" applyAlignment="1">
      <alignment wrapText="1"/>
    </xf>
    <xf numFmtId="2" fontId="8" fillId="0" borderId="3" xfId="0" applyNumberFormat="1" applyFont="1" applyFill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3" xfId="0" quotePrefix="1" applyFont="1" applyBorder="1"/>
    <xf numFmtId="164" fontId="0" fillId="0" borderId="4" xfId="0" applyNumberFormat="1" applyFont="1" applyBorder="1" applyAlignment="1">
      <alignment wrapText="1"/>
    </xf>
    <xf numFmtId="164" fontId="6" fillId="0" borderId="3" xfId="0" applyNumberFormat="1" applyFont="1" applyBorder="1" applyAlignment="1">
      <alignment vertical="center"/>
    </xf>
    <xf numFmtId="2" fontId="0" fillId="0" borderId="0" xfId="0" applyNumberFormat="1" applyFont="1"/>
    <xf numFmtId="0" fontId="0" fillId="0" borderId="0" xfId="0" applyFont="1" applyBorder="1"/>
    <xf numFmtId="0" fontId="8" fillId="0" borderId="0" xfId="0" applyNumberFormat="1" applyFont="1" applyFill="1" applyBorder="1" applyAlignment="1">
      <alignment wrapText="1"/>
    </xf>
    <xf numFmtId="3" fontId="6" fillId="0" borderId="4" xfId="0" applyNumberFormat="1" applyFont="1" applyFill="1" applyBorder="1" applyAlignment="1">
      <alignment wrapText="1"/>
    </xf>
    <xf numFmtId="3" fontId="8" fillId="0" borderId="3" xfId="0" applyNumberFormat="1" applyFont="1" applyFill="1" applyBorder="1" applyAlignment="1">
      <alignment wrapText="1"/>
    </xf>
    <xf numFmtId="2" fontId="0" fillId="0" borderId="0" xfId="0" applyNumberFormat="1" applyFont="1" applyAlignment="1">
      <alignment wrapText="1"/>
    </xf>
    <xf numFmtId="2" fontId="0" fillId="0" borderId="0" xfId="0" applyNumberFormat="1" applyFont="1" applyBorder="1" applyAlignment="1">
      <alignment wrapText="1"/>
    </xf>
    <xf numFmtId="4" fontId="6" fillId="0" borderId="4" xfId="0" applyNumberFormat="1" applyFont="1" applyFill="1" applyBorder="1" applyAlignment="1">
      <alignment wrapText="1"/>
    </xf>
    <xf numFmtId="4" fontId="8" fillId="0" borderId="3" xfId="0" applyNumberFormat="1" applyFont="1" applyFill="1" applyBorder="1" applyAlignment="1">
      <alignment wrapText="1"/>
    </xf>
    <xf numFmtId="0" fontId="8" fillId="0" borderId="4" xfId="0" applyNumberFormat="1" applyFont="1" applyFill="1" applyBorder="1" applyAlignment="1">
      <alignment wrapText="1"/>
    </xf>
    <xf numFmtId="0" fontId="6" fillId="0" borderId="0" xfId="0" applyNumberFormat="1" applyFont="1" applyFill="1" applyBorder="1" applyAlignment="1">
      <alignment wrapText="1"/>
    </xf>
    <xf numFmtId="0" fontId="6" fillId="0" borderId="3" xfId="0" quotePrefix="1" applyNumberFormat="1" applyFont="1" applyFill="1" applyBorder="1" applyAlignment="1">
      <alignment wrapText="1"/>
    </xf>
    <xf numFmtId="0" fontId="6" fillId="0" borderId="3" xfId="0" applyNumberFormat="1" applyFont="1" applyFill="1" applyBorder="1" applyAlignment="1">
      <alignment wrapText="1"/>
    </xf>
    <xf numFmtId="0" fontId="0" fillId="0" borderId="0" xfId="0" applyFont="1" applyFill="1" applyBorder="1"/>
    <xf numFmtId="0" fontId="8" fillId="0" borderId="4" xfId="0" applyNumberFormat="1" applyFont="1" applyFill="1" applyBorder="1" applyAlignment="1"/>
    <xf numFmtId="0" fontId="8" fillId="0" borderId="0" xfId="0" applyNumberFormat="1" applyFont="1" applyFill="1" applyBorder="1" applyAlignment="1"/>
    <xf numFmtId="0" fontId="6" fillId="0" borderId="4" xfId="0" applyNumberFormat="1" applyFont="1" applyFill="1" applyBorder="1" applyAlignment="1">
      <alignment wrapText="1"/>
    </xf>
    <xf numFmtId="0" fontId="6" fillId="0" borderId="0" xfId="0" applyFont="1" applyBorder="1" applyAlignment="1">
      <alignment vertical="center"/>
    </xf>
    <xf numFmtId="0" fontId="8" fillId="0" borderId="3" xfId="0" quotePrefix="1" applyNumberFormat="1" applyFont="1" applyFill="1" applyBorder="1" applyAlignment="1">
      <alignment wrapText="1"/>
    </xf>
    <xf numFmtId="0" fontId="8" fillId="0" borderId="3" xfId="0" applyNumberFormat="1" applyFont="1" applyFill="1" applyBorder="1" applyAlignment="1">
      <alignment wrapText="1"/>
    </xf>
    <xf numFmtId="4" fontId="8" fillId="0" borderId="4" xfId="0" applyNumberFormat="1" applyFont="1" applyFill="1" applyBorder="1" applyAlignment="1">
      <alignment wrapText="1"/>
    </xf>
    <xf numFmtId="3" fontId="6" fillId="0" borderId="2" xfId="0" applyNumberFormat="1" applyFont="1" applyFill="1" applyBorder="1" applyAlignment="1">
      <alignment wrapText="1"/>
    </xf>
    <xf numFmtId="3" fontId="8" fillId="0" borderId="1" xfId="0" applyNumberFormat="1" applyFont="1" applyFill="1" applyBorder="1" applyAlignment="1">
      <alignment wrapText="1"/>
    </xf>
    <xf numFmtId="4" fontId="6" fillId="0" borderId="2" xfId="0" applyNumberFormat="1" applyFont="1" applyFill="1" applyBorder="1" applyAlignment="1">
      <alignment wrapText="1"/>
    </xf>
    <xf numFmtId="4" fontId="8" fillId="0" borderId="1" xfId="0" applyNumberFormat="1" applyFont="1" applyFill="1" applyBorder="1" applyAlignment="1">
      <alignment wrapText="1"/>
    </xf>
    <xf numFmtId="0" fontId="6" fillId="0" borderId="2" xfId="0" applyNumberFormat="1" applyFont="1" applyFill="1" applyBorder="1" applyAlignment="1">
      <alignment wrapText="1"/>
    </xf>
    <xf numFmtId="0" fontId="6" fillId="0" borderId="6" xfId="0" applyFont="1" applyBorder="1" applyAlignment="1">
      <alignment vertical="center"/>
    </xf>
    <xf numFmtId="0" fontId="8" fillId="0" borderId="6" xfId="0" applyNumberFormat="1" applyFont="1" applyFill="1" applyBorder="1" applyAlignment="1">
      <alignment wrapText="1"/>
    </xf>
    <xf numFmtId="0" fontId="6" fillId="0" borderId="6" xfId="0" applyNumberFormat="1" applyFont="1" applyFill="1" applyBorder="1" applyAlignment="1">
      <alignment wrapText="1"/>
    </xf>
    <xf numFmtId="0" fontId="8" fillId="0" borderId="1" xfId="0" applyNumberFormat="1" applyFont="1" applyFill="1" applyBorder="1" applyAlignment="1">
      <alignment wrapText="1"/>
    </xf>
    <xf numFmtId="164" fontId="0" fillId="0" borderId="2" xfId="0" applyNumberFormat="1" applyFont="1" applyBorder="1" applyAlignment="1">
      <alignment wrapText="1"/>
    </xf>
    <xf numFmtId="164" fontId="6" fillId="0" borderId="1" xfId="0" applyNumberFormat="1" applyFont="1" applyBorder="1" applyAlignment="1">
      <alignment vertical="center"/>
    </xf>
    <xf numFmtId="0" fontId="0" fillId="0" borderId="5" xfId="0" applyFont="1" applyBorder="1"/>
    <xf numFmtId="0" fontId="0" fillId="0" borderId="5" xfId="0" applyFont="1" applyBorder="1" applyAlignment="1">
      <alignment vertical="center"/>
    </xf>
    <xf numFmtId="0" fontId="0" fillId="0" borderId="10" xfId="0" applyBorder="1" applyAlignment="1">
      <alignment wrapText="1"/>
    </xf>
    <xf numFmtId="0" fontId="2" fillId="0" borderId="0" xfId="0" applyFont="1" applyAlignment="1"/>
    <xf numFmtId="4" fontId="8" fillId="0" borderId="0" xfId="0" applyNumberFormat="1" applyFont="1" applyFill="1" applyBorder="1" applyAlignment="1">
      <alignment wrapText="1"/>
    </xf>
    <xf numFmtId="4" fontId="6" fillId="0" borderId="0" xfId="0" applyNumberFormat="1" applyFont="1" applyFill="1" applyBorder="1" applyAlignment="1">
      <alignment wrapText="1"/>
    </xf>
    <xf numFmtId="0" fontId="0" fillId="0" borderId="0" xfId="0" applyFont="1" applyAlignment="1">
      <alignment vertical="center"/>
    </xf>
    <xf numFmtId="164" fontId="0" fillId="0" borderId="0" xfId="0" applyNumberFormat="1" applyFont="1"/>
    <xf numFmtId="164" fontId="6" fillId="0" borderId="0" xfId="0" applyNumberFormat="1" applyFont="1" applyAlignment="1">
      <alignment vertical="center"/>
    </xf>
    <xf numFmtId="0" fontId="6" fillId="0" borderId="0" xfId="0" quotePrefix="1" applyNumberFormat="1" applyFont="1" applyFill="1" applyBorder="1" applyAlignment="1">
      <alignment wrapText="1"/>
    </xf>
    <xf numFmtId="2" fontId="0" fillId="0" borderId="0" xfId="0" applyNumberFormat="1" applyFont="1" applyBorder="1"/>
    <xf numFmtId="2" fontId="0" fillId="0" borderId="0" xfId="0" applyNumberFormat="1" applyFont="1" applyFill="1" applyBorder="1" applyAlignment="1">
      <alignment wrapText="1"/>
    </xf>
    <xf numFmtId="4" fontId="8" fillId="0" borderId="0" xfId="0" applyNumberFormat="1" applyFont="1" applyFill="1" applyBorder="1" applyAlignment="1"/>
    <xf numFmtId="0" fontId="8" fillId="0" borderId="0" xfId="0" applyNumberFormat="1" applyFont="1" applyFill="1" applyAlignment="1"/>
    <xf numFmtId="0" fontId="0" fillId="0" borderId="6" xfId="0" applyFont="1" applyBorder="1"/>
    <xf numFmtId="0" fontId="8" fillId="0" borderId="6" xfId="0" applyNumberFormat="1" applyFont="1" applyFill="1" applyBorder="1" applyAlignment="1"/>
    <xf numFmtId="2" fontId="0" fillId="0" borderId="6" xfId="0" applyNumberFormat="1" applyFont="1" applyBorder="1"/>
    <xf numFmtId="2" fontId="0" fillId="0" borderId="6" xfId="0" applyNumberFormat="1" applyFont="1" applyFill="1" applyBorder="1" applyAlignment="1">
      <alignment wrapText="1"/>
    </xf>
    <xf numFmtId="4" fontId="6" fillId="0" borderId="6" xfId="0" applyNumberFormat="1" applyFont="1" applyFill="1" applyBorder="1" applyAlignment="1">
      <alignment wrapText="1"/>
    </xf>
    <xf numFmtId="164" fontId="0" fillId="0" borderId="6" xfId="0" applyNumberFormat="1" applyFont="1" applyBorder="1"/>
    <xf numFmtId="164" fontId="6" fillId="0" borderId="6" xfId="0" applyNumberFormat="1" applyFont="1" applyBorder="1" applyAlignment="1">
      <alignment vertical="center"/>
    </xf>
    <xf numFmtId="1" fontId="0" fillId="0" borderId="0" xfId="0" applyNumberFormat="1" applyFont="1" applyBorder="1"/>
    <xf numFmtId="1" fontId="0" fillId="0" borderId="0" xfId="0" applyNumberFormat="1" applyFont="1" applyBorder="1" applyAlignment="1">
      <alignment wrapText="1"/>
    </xf>
    <xf numFmtId="1" fontId="0" fillId="0" borderId="0" xfId="0" applyNumberFormat="1" applyFont="1" applyFill="1" applyBorder="1" applyAlignment="1">
      <alignment wrapText="1"/>
    </xf>
    <xf numFmtId="1" fontId="0" fillId="0" borderId="0" xfId="0" applyNumberFormat="1" applyFont="1"/>
    <xf numFmtId="0" fontId="0" fillId="0" borderId="0" xfId="0" quotePrefix="1" applyFont="1" applyBorder="1"/>
    <xf numFmtId="0" fontId="0" fillId="0" borderId="0" xfId="0" applyNumberFormat="1" applyFont="1" applyFill="1" applyBorder="1" applyAlignment="1"/>
    <xf numFmtId="0" fontId="0" fillId="0" borderId="0" xfId="0" applyFont="1" applyFill="1" applyBorder="1" applyAlignment="1"/>
    <xf numFmtId="0" fontId="0" fillId="0" borderId="7" xfId="0" applyFont="1" applyFill="1" applyBorder="1" applyAlignment="1"/>
    <xf numFmtId="0" fontId="0" fillId="0" borderId="0" xfId="0" applyFont="1" applyAlignment="1"/>
    <xf numFmtId="164" fontId="0" fillId="0" borderId="0" xfId="0" applyNumberFormat="1" applyFont="1" applyAlignment="1">
      <alignment wrapText="1"/>
    </xf>
    <xf numFmtId="0" fontId="0" fillId="0" borderId="6" xfId="0" applyFont="1" applyBorder="1" applyAlignment="1">
      <alignment wrapText="1"/>
    </xf>
    <xf numFmtId="2" fontId="0" fillId="0" borderId="6" xfId="0" applyNumberFormat="1" applyFont="1" applyBorder="1" applyAlignment="1">
      <alignment wrapText="1"/>
    </xf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Font="1" applyFill="1" applyBorder="1"/>
    <xf numFmtId="164" fontId="0" fillId="0" borderId="10" xfId="0" applyNumberFormat="1" applyFont="1" applyBorder="1" applyAlignment="1">
      <alignment wrapText="1"/>
    </xf>
    <xf numFmtId="0" fontId="0" fillId="0" borderId="10" xfId="0" applyFont="1" applyBorder="1" applyAlignment="1">
      <alignment wrapText="1"/>
    </xf>
    <xf numFmtId="1" fontId="0" fillId="0" borderId="4" xfId="0" applyNumberFormat="1" applyFont="1" applyBorder="1" applyAlignment="1">
      <alignment wrapText="1"/>
    </xf>
    <xf numFmtId="1" fontId="0" fillId="0" borderId="3" xfId="0" applyNumberFormat="1" applyFont="1" applyBorder="1" applyAlignment="1">
      <alignment wrapText="1"/>
    </xf>
    <xf numFmtId="1" fontId="0" fillId="0" borderId="3" xfId="0" applyNumberFormat="1" applyFont="1" applyBorder="1"/>
    <xf numFmtId="1" fontId="0" fillId="0" borderId="9" xfId="0" applyNumberFormat="1" applyFont="1" applyBorder="1"/>
    <xf numFmtId="0" fontId="0" fillId="0" borderId="4" xfId="0" applyFont="1" applyBorder="1"/>
    <xf numFmtId="0" fontId="0" fillId="0" borderId="3" xfId="0" applyFont="1" applyBorder="1"/>
    <xf numFmtId="164" fontId="0" fillId="0" borderId="3" xfId="0" applyNumberFormat="1" applyFont="1" applyBorder="1"/>
    <xf numFmtId="164" fontId="0" fillId="0" borderId="9" xfId="0" applyNumberFormat="1" applyFont="1" applyBorder="1"/>
    <xf numFmtId="0" fontId="0" fillId="0" borderId="9" xfId="0" applyFont="1" applyBorder="1"/>
    <xf numFmtId="4" fontId="6" fillId="0" borderId="3" xfId="0" applyNumberFormat="1" applyFont="1" applyFill="1" applyBorder="1" applyAlignment="1">
      <alignment wrapText="1"/>
    </xf>
    <xf numFmtId="164" fontId="0" fillId="0" borderId="4" xfId="0" applyNumberFormat="1" applyFont="1" applyBorder="1"/>
    <xf numFmtId="4" fontId="8" fillId="0" borderId="4" xfId="0" applyNumberFormat="1" applyFont="1" applyFill="1" applyBorder="1" applyAlignment="1"/>
    <xf numFmtId="2" fontId="0" fillId="0" borderId="0" xfId="0" applyNumberFormat="1" applyFont="1" applyFill="1" applyBorder="1"/>
    <xf numFmtId="0" fontId="6" fillId="0" borderId="1" xfId="0" applyNumberFormat="1" applyFont="1" applyFill="1" applyBorder="1" applyAlignment="1">
      <alignment wrapText="1"/>
    </xf>
    <xf numFmtId="4" fontId="8" fillId="0" borderId="2" xfId="0" applyNumberFormat="1" applyFont="1" applyFill="1" applyBorder="1" applyAlignment="1"/>
    <xf numFmtId="4" fontId="6" fillId="0" borderId="1" xfId="0" applyNumberFormat="1" applyFont="1" applyFill="1" applyBorder="1" applyAlignment="1">
      <alignment wrapText="1"/>
    </xf>
    <xf numFmtId="164" fontId="0" fillId="0" borderId="2" xfId="0" applyNumberFormat="1" applyFont="1" applyBorder="1"/>
    <xf numFmtId="0" fontId="0" fillId="0" borderId="10" xfId="0" applyFont="1" applyBorder="1"/>
    <xf numFmtId="4" fontId="0" fillId="0" borderId="0" xfId="0" applyNumberFormat="1" applyFont="1"/>
    <xf numFmtId="0" fontId="0" fillId="0" borderId="0" xfId="0" quotePrefix="1" applyFont="1"/>
    <xf numFmtId="0" fontId="0" fillId="0" borderId="2" xfId="0" applyFont="1" applyBorder="1"/>
    <xf numFmtId="1" fontId="0" fillId="0" borderId="11" xfId="0" applyNumberFormat="1" applyFont="1" applyBorder="1" applyAlignment="1">
      <alignment wrapText="1"/>
    </xf>
    <xf numFmtId="1" fontId="0" fillId="0" borderId="12" xfId="0" applyNumberFormat="1" applyFont="1" applyBorder="1" applyAlignment="1">
      <alignment wrapText="1"/>
    </xf>
    <xf numFmtId="1" fontId="0" fillId="0" borderId="4" xfId="0" applyNumberFormat="1" applyFont="1" applyBorder="1"/>
    <xf numFmtId="0" fontId="0" fillId="0" borderId="3" xfId="0" applyFont="1" applyBorder="1" applyAlignment="1">
      <alignment wrapText="1"/>
    </xf>
    <xf numFmtId="164" fontId="0" fillId="0" borderId="3" xfId="0" applyNumberFormat="1" applyFont="1" applyBorder="1" applyAlignment="1">
      <alignment wrapText="1"/>
    </xf>
    <xf numFmtId="3" fontId="6" fillId="0" borderId="0" xfId="0" applyNumberFormat="1" applyFont="1" applyFill="1" applyBorder="1" applyAlignment="1">
      <alignment wrapText="1"/>
    </xf>
    <xf numFmtId="3" fontId="8" fillId="0" borderId="0" xfId="0" applyNumberFormat="1" applyFont="1" applyFill="1" applyBorder="1" applyAlignment="1">
      <alignment wrapText="1"/>
    </xf>
    <xf numFmtId="4" fontId="8" fillId="0" borderId="0" xfId="0" applyNumberFormat="1" applyFont="1" applyFill="1" applyAlignment="1">
      <alignment wrapText="1"/>
    </xf>
    <xf numFmtId="0" fontId="6" fillId="0" borderId="0" xfId="0" applyFont="1" applyAlignment="1">
      <alignment vertical="center"/>
    </xf>
    <xf numFmtId="4" fontId="9" fillId="0" borderId="0" xfId="0" applyNumberFormat="1" applyFont="1" applyFill="1" applyBorder="1" applyAlignment="1">
      <alignment wrapText="1"/>
    </xf>
    <xf numFmtId="3" fontId="6" fillId="0" borderId="6" xfId="0" applyNumberFormat="1" applyFont="1" applyFill="1" applyBorder="1" applyAlignment="1">
      <alignment wrapText="1"/>
    </xf>
    <xf numFmtId="3" fontId="8" fillId="0" borderId="6" xfId="0" applyNumberFormat="1" applyFont="1" applyFill="1" applyBorder="1" applyAlignment="1">
      <alignment wrapText="1"/>
    </xf>
    <xf numFmtId="4" fontId="8" fillId="0" borderId="6" xfId="0" applyNumberFormat="1" applyFont="1" applyFill="1" applyBorder="1" applyAlignment="1">
      <alignment wrapText="1"/>
    </xf>
    <xf numFmtId="0" fontId="0" fillId="0" borderId="0" xfId="0" applyFont="1" applyFill="1" applyBorder="1" applyAlignment="1">
      <alignment vertical="center"/>
    </xf>
    <xf numFmtId="165" fontId="0" fillId="0" borderId="0" xfId="0" applyNumberFormat="1" applyFont="1"/>
    <xf numFmtId="0" fontId="0" fillId="2" borderId="0" xfId="0" applyFont="1" applyFill="1" applyBorder="1"/>
    <xf numFmtId="1" fontId="6" fillId="0" borderId="0" xfId="0" applyNumberFormat="1" applyFont="1" applyFill="1" applyBorder="1" applyAlignment="1">
      <alignment wrapText="1"/>
    </xf>
    <xf numFmtId="1" fontId="8" fillId="0" borderId="0" xfId="0" applyNumberFormat="1" applyFont="1" applyFill="1" applyBorder="1" applyAlignment="1">
      <alignment wrapText="1"/>
    </xf>
    <xf numFmtId="0" fontId="8" fillId="0" borderId="5" xfId="0" applyNumberFormat="1" applyFont="1" applyFill="1" applyBorder="1" applyAlignment="1"/>
    <xf numFmtId="0" fontId="6" fillId="0" borderId="5" xfId="0" applyNumberFormat="1" applyFont="1" applyFill="1" applyBorder="1" applyAlignment="1">
      <alignment wrapText="1"/>
    </xf>
    <xf numFmtId="165" fontId="0" fillId="0" borderId="0" xfId="0" applyNumberFormat="1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Border="1" applyAlignment="1"/>
    <xf numFmtId="0" fontId="11" fillId="0" borderId="0" xfId="0" applyFont="1" applyAlignment="1"/>
    <xf numFmtId="0" fontId="10" fillId="0" borderId="0" xfId="0" quotePrefix="1" applyFont="1" applyAlignment="1">
      <alignment wrapText="1"/>
    </xf>
    <xf numFmtId="1" fontId="6" fillId="0" borderId="6" xfId="0" applyNumberFormat="1" applyFont="1" applyFill="1" applyBorder="1" applyAlignment="1">
      <alignment wrapText="1"/>
    </xf>
    <xf numFmtId="1" fontId="8" fillId="0" borderId="6" xfId="0" applyNumberFormat="1" applyFont="1" applyFill="1" applyBorder="1" applyAlignment="1">
      <alignment wrapText="1"/>
    </xf>
    <xf numFmtId="0" fontId="11" fillId="0" borderId="6" xfId="0" applyFont="1" applyBorder="1" applyAlignment="1"/>
    <xf numFmtId="0" fontId="10" fillId="0" borderId="6" xfId="0" applyFont="1" applyBorder="1" applyAlignment="1">
      <alignment wrapText="1"/>
    </xf>
    <xf numFmtId="164" fontId="0" fillId="0" borderId="0" xfId="0" applyNumberFormat="1" applyFont="1" applyBorder="1"/>
    <xf numFmtId="164" fontId="6" fillId="0" borderId="0" xfId="0" applyNumberFormat="1" applyFont="1" applyBorder="1" applyAlignment="1">
      <alignment vertical="center"/>
    </xf>
    <xf numFmtId="2" fontId="6" fillId="0" borderId="0" xfId="0" applyNumberFormat="1" applyFont="1" applyFill="1" applyBorder="1" applyAlignment="1">
      <alignment wrapText="1"/>
    </xf>
    <xf numFmtId="0" fontId="12" fillId="0" borderId="0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12" fillId="0" borderId="0" xfId="0" applyFont="1" applyBorder="1" applyAlignment="1"/>
    <xf numFmtId="0" fontId="12" fillId="0" borderId="6" xfId="0" applyFont="1" applyBorder="1" applyAlignment="1"/>
    <xf numFmtId="0" fontId="6" fillId="0" borderId="6" xfId="0" applyFont="1" applyBorder="1" applyAlignment="1">
      <alignment wrapText="1"/>
    </xf>
    <xf numFmtId="2" fontId="0" fillId="0" borderId="5" xfId="0" applyNumberFormat="1" applyFont="1" applyBorder="1"/>
    <xf numFmtId="164" fontId="0" fillId="0" borderId="5" xfId="0" applyNumberFormat="1" applyFont="1" applyBorder="1"/>
    <xf numFmtId="0" fontId="8" fillId="2" borderId="0" xfId="0" applyNumberFormat="1" applyFont="1" applyFill="1" applyBorder="1" applyAlignment="1"/>
    <xf numFmtId="1" fontId="11" fillId="0" borderId="0" xfId="0" applyNumberFormat="1" applyFont="1" applyBorder="1" applyAlignment="1">
      <alignment wrapText="1"/>
    </xf>
    <xf numFmtId="0" fontId="0" fillId="0" borderId="5" xfId="0" applyFont="1" applyBorder="1" applyAlignment="1">
      <alignment wrapText="1"/>
    </xf>
    <xf numFmtId="1" fontId="6" fillId="0" borderId="5" xfId="0" applyNumberFormat="1" applyFont="1" applyFill="1" applyBorder="1" applyAlignment="1">
      <alignment wrapText="1"/>
    </xf>
    <xf numFmtId="1" fontId="8" fillId="0" borderId="5" xfId="0" applyNumberFormat="1" applyFont="1" applyFill="1" applyBorder="1" applyAlignment="1">
      <alignment wrapText="1"/>
    </xf>
    <xf numFmtId="2" fontId="0" fillId="0" borderId="5" xfId="0" applyNumberFormat="1" applyFont="1" applyBorder="1" applyAlignment="1">
      <alignment wrapText="1"/>
    </xf>
    <xf numFmtId="4" fontId="6" fillId="0" borderId="5" xfId="0" applyNumberFormat="1" applyFont="1" applyFill="1" applyBorder="1" applyAlignment="1">
      <alignment wrapText="1"/>
    </xf>
    <xf numFmtId="4" fontId="8" fillId="0" borderId="5" xfId="0" applyNumberFormat="1" applyFont="1" applyFill="1" applyBorder="1" applyAlignment="1">
      <alignment wrapText="1"/>
    </xf>
    <xf numFmtId="2" fontId="0" fillId="0" borderId="0" xfId="0" applyNumberFormat="1" applyFont="1" applyFill="1" applyBorder="1" applyAlignment="1"/>
    <xf numFmtId="0" fontId="0" fillId="0" borderId="0" xfId="0" applyNumberFormat="1" applyFont="1"/>
    <xf numFmtId="4" fontId="0" fillId="0" borderId="0" xfId="0" applyNumberFormat="1" applyFont="1" applyFill="1"/>
    <xf numFmtId="4" fontId="13" fillId="0" borderId="0" xfId="0" applyNumberFormat="1" applyFont="1" applyFill="1" applyBorder="1" applyAlignment="1">
      <alignment wrapText="1"/>
    </xf>
    <xf numFmtId="4" fontId="14" fillId="0" borderId="0" xfId="0" applyNumberFormat="1" applyFont="1" applyFill="1" applyBorder="1" applyAlignment="1">
      <alignment wrapText="1"/>
    </xf>
    <xf numFmtId="0" fontId="0" fillId="0" borderId="0" xfId="0" applyFont="1" applyFill="1"/>
    <xf numFmtId="3" fontId="0" fillId="0" borderId="0" xfId="0" applyNumberFormat="1" applyFont="1" applyFill="1"/>
    <xf numFmtId="2" fontId="0" fillId="0" borderId="0" xfId="0" applyNumberFormat="1" applyFont="1" applyFill="1"/>
    <xf numFmtId="1" fontId="0" fillId="0" borderId="0" xfId="0" applyNumberFormat="1" applyFont="1" applyFill="1"/>
    <xf numFmtId="0" fontId="7" fillId="0" borderId="0" xfId="0" applyFont="1" applyFill="1"/>
    <xf numFmtId="3" fontId="0" fillId="0" borderId="0" xfId="0" applyNumberFormat="1" applyFont="1"/>
    <xf numFmtId="0" fontId="0" fillId="0" borderId="6" xfId="0" applyFont="1" applyBorder="1" applyAlignment="1"/>
    <xf numFmtId="0" fontId="0" fillId="0" borderId="9" xfId="0" applyFont="1" applyBorder="1" applyAlignment="1"/>
    <xf numFmtId="0" fontId="0" fillId="4" borderId="9" xfId="0" applyFont="1" applyFill="1" applyBorder="1"/>
    <xf numFmtId="164" fontId="0" fillId="4" borderId="9" xfId="0" applyNumberFormat="1" applyFont="1" applyFill="1" applyBorder="1"/>
    <xf numFmtId="0" fontId="15" fillId="0" borderId="0" xfId="0" applyFont="1" applyBorder="1" applyAlignment="1"/>
    <xf numFmtId="165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6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9" xfId="0" applyFont="1" applyFill="1" applyBorder="1"/>
    <xf numFmtId="165" fontId="0" fillId="0" borderId="0" xfId="0" applyNumberFormat="1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164" fontId="16" fillId="0" borderId="1" xfId="0" applyNumberFormat="1" applyFont="1" applyBorder="1"/>
    <xf numFmtId="1" fontId="0" fillId="0" borderId="5" xfId="0" applyNumberFormat="1" applyFont="1" applyBorder="1"/>
    <xf numFmtId="0" fontId="8" fillId="0" borderId="3" xfId="0" applyNumberFormat="1" applyFont="1" applyFill="1" applyBorder="1" applyAlignment="1"/>
    <xf numFmtId="0" fontId="8" fillId="0" borderId="1" xfId="0" applyNumberFormat="1" applyFont="1" applyFill="1" applyBorder="1" applyAlignment="1"/>
    <xf numFmtId="1" fontId="0" fillId="0" borderId="5" xfId="0" applyNumberFormat="1" applyFont="1" applyBorder="1" applyAlignment="1">
      <alignment wrapText="1"/>
    </xf>
    <xf numFmtId="2" fontId="0" fillId="0" borderId="4" xfId="0" applyNumberFormat="1" applyFont="1" applyBorder="1" applyAlignment="1">
      <alignment wrapText="1"/>
    </xf>
    <xf numFmtId="2" fontId="0" fillId="0" borderId="3" xfId="0" applyNumberFormat="1" applyFont="1" applyBorder="1" applyAlignment="1">
      <alignment wrapText="1"/>
    </xf>
    <xf numFmtId="2" fontId="0" fillId="0" borderId="4" xfId="0" applyNumberFormat="1" applyFont="1" applyBorder="1"/>
    <xf numFmtId="2" fontId="0" fillId="0" borderId="3" xfId="0" applyNumberFormat="1" applyFont="1" applyFill="1" applyBorder="1" applyAlignment="1">
      <alignment wrapText="1"/>
    </xf>
    <xf numFmtId="2" fontId="0" fillId="0" borderId="2" xfId="0" applyNumberFormat="1" applyFont="1" applyBorder="1"/>
    <xf numFmtId="2" fontId="0" fillId="0" borderId="1" xfId="0" applyNumberFormat="1" applyFont="1" applyFill="1" applyBorder="1" applyAlignment="1">
      <alignment wrapText="1"/>
    </xf>
    <xf numFmtId="1" fontId="0" fillId="0" borderId="5" xfId="0" applyNumberFormat="1" applyFont="1" applyFill="1" applyBorder="1" applyAlignment="1">
      <alignment wrapText="1"/>
    </xf>
    <xf numFmtId="1" fontId="0" fillId="0" borderId="12" xfId="0" applyNumberFormat="1" applyFont="1" applyBorder="1"/>
    <xf numFmtId="0" fontId="0" fillId="0" borderId="4" xfId="0" applyFont="1" applyBorder="1" applyAlignment="1">
      <alignment vertical="center"/>
    </xf>
    <xf numFmtId="0" fontId="8" fillId="0" borderId="2" xfId="0" applyNumberFormat="1" applyFont="1" applyFill="1" applyBorder="1" applyAlignment="1"/>
    <xf numFmtId="0" fontId="6" fillId="0" borderId="1" xfId="0" quotePrefix="1" applyNumberFormat="1" applyFont="1" applyFill="1" applyBorder="1" applyAlignment="1">
      <alignment wrapText="1"/>
    </xf>
    <xf numFmtId="1" fontId="0" fillId="0" borderId="11" xfId="0" applyNumberFormat="1" applyFont="1" applyBorder="1"/>
    <xf numFmtId="1" fontId="0" fillId="0" borderId="13" xfId="0" applyNumberFormat="1" applyFont="1" applyBorder="1"/>
    <xf numFmtId="0" fontId="0" fillId="0" borderId="9" xfId="0" applyFont="1" applyFill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0" fontId="0" fillId="0" borderId="10" xfId="0" applyFont="1" applyFill="1" applyBorder="1" applyAlignment="1">
      <alignment horizontal="right"/>
    </xf>
    <xf numFmtId="2" fontId="0" fillId="0" borderId="9" xfId="0" applyNumberFormat="1" applyFont="1" applyBorder="1"/>
    <xf numFmtId="0" fontId="6" fillId="2" borderId="9" xfId="0" applyFont="1" applyFill="1" applyBorder="1"/>
    <xf numFmtId="2" fontId="0" fillId="0" borderId="10" xfId="0" applyNumberFormat="1" applyFont="1" applyBorder="1"/>
    <xf numFmtId="0" fontId="0" fillId="0" borderId="10" xfId="0" applyFont="1" applyFill="1" applyBorder="1"/>
    <xf numFmtId="4" fontId="9" fillId="0" borderId="4" xfId="0" applyNumberFormat="1" applyFont="1" applyFill="1" applyBorder="1" applyAlignment="1">
      <alignment wrapText="1"/>
    </xf>
    <xf numFmtId="2" fontId="0" fillId="0" borderId="1" xfId="0" applyNumberFormat="1" applyFont="1" applyBorder="1" applyAlignment="1">
      <alignment wrapText="1"/>
    </xf>
    <xf numFmtId="0" fontId="0" fillId="0" borderId="12" xfId="0" applyFont="1" applyBorder="1" applyAlignment="1">
      <alignment wrapText="1"/>
    </xf>
    <xf numFmtId="0" fontId="0" fillId="0" borderId="11" xfId="0" applyFont="1" applyBorder="1" applyAlignment="1">
      <alignment wrapText="1"/>
    </xf>
    <xf numFmtId="1" fontId="6" fillId="0" borderId="4" xfId="0" applyNumberFormat="1" applyFont="1" applyFill="1" applyBorder="1" applyAlignment="1">
      <alignment wrapText="1"/>
    </xf>
    <xf numFmtId="1" fontId="6" fillId="0" borderId="2" xfId="0" applyNumberFormat="1" applyFont="1" applyFill="1" applyBorder="1" applyAlignment="1">
      <alignment wrapText="1"/>
    </xf>
    <xf numFmtId="1" fontId="8" fillId="0" borderId="1" xfId="0" applyNumberFormat="1" applyFont="1" applyFill="1" applyBorder="1" applyAlignment="1">
      <alignment wrapText="1"/>
    </xf>
    <xf numFmtId="2" fontId="0" fillId="0" borderId="3" xfId="0" applyNumberFormat="1" applyFont="1" applyBorder="1"/>
    <xf numFmtId="2" fontId="0" fillId="0" borderId="1" xfId="0" applyNumberFormat="1" applyFont="1" applyBorder="1"/>
    <xf numFmtId="164" fontId="0" fillId="0" borderId="11" xfId="0" applyNumberFormat="1" applyFont="1" applyBorder="1"/>
    <xf numFmtId="164" fontId="0" fillId="0" borderId="12" xfId="0" applyNumberFormat="1" applyFont="1" applyBorder="1"/>
    <xf numFmtId="0" fontId="0" fillId="0" borderId="13" xfId="0" applyFont="1" applyBorder="1"/>
    <xf numFmtId="0" fontId="0" fillId="2" borderId="9" xfId="0" applyFont="1" applyFill="1" applyBorder="1"/>
    <xf numFmtId="1" fontId="0" fillId="0" borderId="2" xfId="0" applyNumberFormat="1" applyFont="1" applyBorder="1"/>
    <xf numFmtId="1" fontId="0" fillId="0" borderId="1" xfId="0" applyNumberFormat="1" applyFont="1" applyBorder="1"/>
    <xf numFmtId="165" fontId="0" fillId="0" borderId="4" xfId="0" applyNumberFormat="1" applyFont="1" applyBorder="1" applyAlignment="1">
      <alignment wrapText="1"/>
    </xf>
    <xf numFmtId="165" fontId="0" fillId="0" borderId="3" xfId="0" applyNumberFormat="1" applyFont="1" applyBorder="1" applyAlignment="1">
      <alignment wrapText="1"/>
    </xf>
    <xf numFmtId="0" fontId="0" fillId="0" borderId="3" xfId="0" applyFont="1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2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10" fillId="0" borderId="3" xfId="0" quotePrefix="1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/>
    <xf numFmtId="0" fontId="11" fillId="0" borderId="2" xfId="0" applyFont="1" applyBorder="1" applyAlignment="1"/>
    <xf numFmtId="0" fontId="10" fillId="0" borderId="1" xfId="0" applyFont="1" applyBorder="1" applyAlignment="1">
      <alignment wrapText="1"/>
    </xf>
    <xf numFmtId="0" fontId="0" fillId="0" borderId="12" xfId="0" applyFont="1" applyBorder="1"/>
    <xf numFmtId="0" fontId="0" fillId="0" borderId="1" xfId="0" applyFont="1" applyBorder="1" applyAlignment="1">
      <alignment wrapText="1"/>
    </xf>
    <xf numFmtId="2" fontId="6" fillId="0" borderId="4" xfId="0" applyNumberFormat="1" applyFont="1" applyFill="1" applyBorder="1" applyAlignment="1">
      <alignment wrapText="1"/>
    </xf>
    <xf numFmtId="0" fontId="6" fillId="0" borderId="4" xfId="0" applyFont="1" applyBorder="1" applyAlignment="1">
      <alignment vertical="center"/>
    </xf>
    <xf numFmtId="0" fontId="8" fillId="0" borderId="9" xfId="0" applyNumberFormat="1" applyFont="1" applyFill="1" applyBorder="1" applyAlignment="1"/>
    <xf numFmtId="0" fontId="10" fillId="0" borderId="1" xfId="0" quotePrefix="1" applyFont="1" applyBorder="1" applyAlignment="1">
      <alignment wrapText="1"/>
    </xf>
    <xf numFmtId="0" fontId="6" fillId="0" borderId="3" xfId="0" quotePrefix="1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12" fillId="0" borderId="4" xfId="0" applyFont="1" applyBorder="1" applyAlignment="1"/>
    <xf numFmtId="0" fontId="12" fillId="0" borderId="2" xfId="0" applyFont="1" applyBorder="1" applyAlignment="1"/>
    <xf numFmtId="0" fontId="6" fillId="0" borderId="1" xfId="0" applyFont="1" applyBorder="1" applyAlignment="1">
      <alignment wrapText="1"/>
    </xf>
    <xf numFmtId="164" fontId="6" fillId="0" borderId="4" xfId="0" applyNumberFormat="1" applyFont="1" applyBorder="1" applyAlignment="1">
      <alignment vertical="center"/>
    </xf>
    <xf numFmtId="2" fontId="0" fillId="0" borderId="2" xfId="0" applyNumberFormat="1" applyFont="1" applyBorder="1" applyAlignment="1">
      <alignment wrapText="1"/>
    </xf>
    <xf numFmtId="0" fontId="12" fillId="0" borderId="2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6" fillId="0" borderId="1" xfId="0" quotePrefix="1" applyFont="1" applyBorder="1" applyAlignment="1">
      <alignment wrapText="1"/>
    </xf>
    <xf numFmtId="0" fontId="10" fillId="0" borderId="4" xfId="0" applyFont="1" applyBorder="1" applyAlignment="1">
      <alignment wrapText="1"/>
    </xf>
    <xf numFmtId="1" fontId="11" fillId="0" borderId="3" xfId="0" applyNumberFormat="1" applyFont="1" applyBorder="1" applyAlignment="1">
      <alignment wrapText="1"/>
    </xf>
    <xf numFmtId="0" fontId="10" fillId="0" borderId="2" xfId="0" applyFont="1" applyBorder="1" applyAlignment="1">
      <alignment wrapText="1"/>
    </xf>
    <xf numFmtId="1" fontId="11" fillId="0" borderId="1" xfId="0" applyNumberFormat="1" applyFont="1" applyBorder="1" applyAlignment="1">
      <alignment wrapText="1"/>
    </xf>
    <xf numFmtId="0" fontId="6" fillId="0" borderId="9" xfId="0" applyFont="1" applyBorder="1" applyAlignment="1">
      <alignment vertical="center"/>
    </xf>
    <xf numFmtId="0" fontId="8" fillId="2" borderId="9" xfId="0" applyNumberFormat="1" applyFont="1" applyFill="1" applyBorder="1" applyAlignment="1"/>
    <xf numFmtId="0" fontId="0" fillId="0" borderId="2" xfId="0" applyFont="1" applyBorder="1" applyAlignment="1">
      <alignment wrapText="1"/>
    </xf>
    <xf numFmtId="0" fontId="0" fillId="0" borderId="3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0" xfId="0" applyFill="1" applyBorder="1"/>
    <xf numFmtId="0" fontId="6" fillId="0" borderId="10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165" fontId="0" fillId="0" borderId="0" xfId="0" applyNumberFormat="1"/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165" fontId="0" fillId="0" borderId="0" xfId="0" applyNumberFormat="1" applyBorder="1"/>
    <xf numFmtId="165" fontId="0" fillId="0" borderId="7" xfId="0" applyNumberFormat="1" applyBorder="1"/>
    <xf numFmtId="0" fontId="0" fillId="0" borderId="14" xfId="0" applyBorder="1"/>
    <xf numFmtId="0" fontId="0" fillId="0" borderId="17" xfId="0" applyBorder="1" applyAlignment="1">
      <alignment horizontal="center"/>
    </xf>
    <xf numFmtId="0" fontId="0" fillId="0" borderId="16" xfId="0" applyBorder="1"/>
    <xf numFmtId="0" fontId="0" fillId="0" borderId="0" xfId="0" quotePrefix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8" xfId="0" applyBorder="1"/>
    <xf numFmtId="0" fontId="0" fillId="0" borderId="16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7" fillId="0" borderId="0" xfId="0" applyFon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17" fillId="0" borderId="0" xfId="0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165" fontId="0" fillId="0" borderId="7" xfId="0" applyNumberFormat="1" applyBorder="1" applyAlignment="1">
      <alignment horizontal="center"/>
    </xf>
    <xf numFmtId="165" fontId="17" fillId="0" borderId="7" xfId="0" applyNumberFormat="1" applyFont="1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18" fillId="0" borderId="0" xfId="0" applyFont="1"/>
    <xf numFmtId="0" fontId="17" fillId="0" borderId="21" xfId="0" applyFont="1" applyBorder="1"/>
    <xf numFmtId="165" fontId="0" fillId="0" borderId="6" xfId="0" applyNumberFormat="1" applyBorder="1"/>
    <xf numFmtId="165" fontId="0" fillId="0" borderId="0" xfId="0" applyNumberFormat="1" applyFont="1" applyBorder="1"/>
    <xf numFmtId="165" fontId="0" fillId="0" borderId="6" xfId="0" applyNumberFormat="1" applyFont="1" applyBorder="1"/>
    <xf numFmtId="0" fontId="2" fillId="0" borderId="6" xfId="0" applyFont="1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Border="1"/>
    <xf numFmtId="0" fontId="2" fillId="0" borderId="4" xfId="0" applyFont="1" applyBorder="1"/>
    <xf numFmtId="0" fontId="2" fillId="0" borderId="2" xfId="0" applyFont="1" applyBorder="1"/>
    <xf numFmtId="0" fontId="2" fillId="0" borderId="4" xfId="0" applyFont="1" applyBorder="1" applyAlignment="1">
      <alignment horizontal="right"/>
    </xf>
    <xf numFmtId="165" fontId="2" fillId="0" borderId="6" xfId="0" applyNumberFormat="1" applyFont="1" applyBorder="1"/>
    <xf numFmtId="165" fontId="2" fillId="0" borderId="4" xfId="0" applyNumberFormat="1" applyFont="1" applyBorder="1"/>
    <xf numFmtId="165" fontId="2" fillId="0" borderId="2" xfId="0" applyNumberFormat="1" applyFont="1" applyBorder="1"/>
    <xf numFmtId="165" fontId="0" fillId="0" borderId="3" xfId="0" applyNumberFormat="1" applyFont="1" applyBorder="1"/>
    <xf numFmtId="0" fontId="0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1" xfId="0" applyNumberFormat="1" applyFont="1" applyBorder="1"/>
    <xf numFmtId="165" fontId="0" fillId="0" borderId="4" xfId="0" applyNumberFormat="1" applyFont="1" applyBorder="1"/>
    <xf numFmtId="165" fontId="0" fillId="0" borderId="4" xfId="0" applyNumberFormat="1" applyBorder="1"/>
    <xf numFmtId="165" fontId="0" fillId="0" borderId="2" xfId="0" applyNumberFormat="1" applyBorder="1"/>
    <xf numFmtId="2" fontId="0" fillId="0" borderId="6" xfId="0" applyNumberFormat="1" applyBorder="1"/>
    <xf numFmtId="2" fontId="0" fillId="0" borderId="3" xfId="0" applyNumberFormat="1" applyBorder="1"/>
    <xf numFmtId="2" fontId="0" fillId="0" borderId="1" xfId="0" applyNumberFormat="1" applyBorder="1"/>
    <xf numFmtId="165" fontId="0" fillId="0" borderId="0" xfId="0" applyNumberFormat="1" applyFont="1" applyBorder="1" applyAlignment="1">
      <alignment horizontal="right"/>
    </xf>
    <xf numFmtId="165" fontId="0" fillId="0" borderId="6" xfId="0" applyNumberFormat="1" applyFont="1" applyBorder="1" applyAlignment="1">
      <alignment horizontal="right"/>
    </xf>
    <xf numFmtId="0" fontId="0" fillId="0" borderId="4" xfId="0" applyFill="1" applyBorder="1"/>
    <xf numFmtId="165" fontId="0" fillId="0" borderId="6" xfId="0" applyNumberFormat="1" applyBorder="1" applyAlignment="1">
      <alignment horizontal="center"/>
    </xf>
    <xf numFmtId="164" fontId="6" fillId="0" borderId="0" xfId="0" applyNumberFormat="1" applyFont="1" applyBorder="1"/>
    <xf numFmtId="164" fontId="6" fillId="0" borderId="6" xfId="0" applyNumberFormat="1" applyFont="1" applyBorder="1"/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164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19" fillId="0" borderId="0" xfId="0" applyFont="1"/>
    <xf numFmtId="2" fontId="2" fillId="0" borderId="4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20" fillId="0" borderId="4" xfId="0" applyFont="1" applyBorder="1"/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1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2" fontId="2" fillId="0" borderId="0" xfId="0" applyNumberFormat="1" applyFont="1" applyBorder="1"/>
    <xf numFmtId="2" fontId="2" fillId="0" borderId="6" xfId="0" applyNumberFormat="1" applyFont="1" applyBorder="1"/>
    <xf numFmtId="0" fontId="20" fillId="0" borderId="14" xfId="0" applyFont="1" applyBorder="1"/>
    <xf numFmtId="0" fontId="0" fillId="0" borderId="15" xfId="0" applyBorder="1"/>
    <xf numFmtId="0" fontId="0" fillId="0" borderId="17" xfId="0" applyBorder="1"/>
    <xf numFmtId="0" fontId="2" fillId="0" borderId="16" xfId="0" applyFon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2" fontId="2" fillId="0" borderId="16" xfId="0" applyNumberFormat="1" applyFon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0" fillId="0" borderId="24" xfId="0" applyBorder="1"/>
    <xf numFmtId="0" fontId="0" fillId="0" borderId="19" xfId="0" applyBorder="1"/>
    <xf numFmtId="0" fontId="0" fillId="0" borderId="20" xfId="0" applyBorder="1"/>
    <xf numFmtId="0" fontId="1" fillId="0" borderId="19" xfId="0" applyFont="1" applyBorder="1"/>
    <xf numFmtId="0" fontId="2" fillId="0" borderId="16" xfId="0" applyFont="1" applyBorder="1"/>
    <xf numFmtId="0" fontId="0" fillId="0" borderId="18" xfId="0" applyFill="1" applyBorder="1"/>
    <xf numFmtId="0" fontId="2" fillId="0" borderId="22" xfId="0" applyFont="1" applyBorder="1"/>
    <xf numFmtId="0" fontId="0" fillId="0" borderId="23" xfId="0" applyBorder="1"/>
    <xf numFmtId="165" fontId="2" fillId="0" borderId="16" xfId="0" applyNumberFormat="1" applyFont="1" applyBorder="1"/>
    <xf numFmtId="2" fontId="0" fillId="0" borderId="18" xfId="0" applyNumberFormat="1" applyBorder="1"/>
    <xf numFmtId="165" fontId="2" fillId="0" borderId="22" xfId="0" applyNumberFormat="1" applyFont="1" applyBorder="1"/>
    <xf numFmtId="2" fontId="0" fillId="0" borderId="23" xfId="0" applyNumberFormat="1" applyBorder="1"/>
    <xf numFmtId="0" fontId="19" fillId="0" borderId="0" xfId="0" applyFont="1" applyAlignment="1"/>
    <xf numFmtId="0" fontId="0" fillId="0" borderId="0" xfId="0" applyAlignment="1"/>
    <xf numFmtId="0" fontId="0" fillId="0" borderId="3" xfId="0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165" fontId="0" fillId="0" borderId="6" xfId="0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25" xfId="0" applyBorder="1" applyAlignment="1">
      <alignment horizontal="center"/>
    </xf>
    <xf numFmtId="0" fontId="0" fillId="0" borderId="25" xfId="0" applyBorder="1"/>
    <xf numFmtId="2" fontId="0" fillId="0" borderId="25" xfId="0" applyNumberForma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2" fontId="0" fillId="0" borderId="6" xfId="0" applyNumberFormat="1" applyFont="1" applyFill="1" applyBorder="1" applyAlignment="1">
      <alignment horizontal="center"/>
    </xf>
    <xf numFmtId="0" fontId="20" fillId="5" borderId="14" xfId="0" applyFont="1" applyFill="1" applyBorder="1"/>
    <xf numFmtId="0" fontId="0" fillId="5" borderId="15" xfId="0" applyFill="1" applyBorder="1"/>
    <xf numFmtId="0" fontId="0" fillId="5" borderId="15" xfId="0" applyFont="1" applyFill="1" applyBorder="1"/>
    <xf numFmtId="0" fontId="0" fillId="5" borderId="17" xfId="0" applyFont="1" applyFill="1" applyBorder="1"/>
    <xf numFmtId="0" fontId="0" fillId="5" borderId="16" xfId="0" applyFill="1" applyBorder="1"/>
    <xf numFmtId="0" fontId="0" fillId="5" borderId="0" xfId="0" applyFill="1" applyBorder="1"/>
    <xf numFmtId="0" fontId="2" fillId="5" borderId="0" xfId="0" applyFont="1" applyFill="1" applyBorder="1"/>
    <xf numFmtId="0" fontId="0" fillId="5" borderId="0" xfId="0" applyFill="1" applyBorder="1" applyAlignment="1">
      <alignment horizontal="center"/>
    </xf>
    <xf numFmtId="0" fontId="0" fillId="5" borderId="18" xfId="0" applyFill="1" applyBorder="1"/>
    <xf numFmtId="0" fontId="0" fillId="5" borderId="22" xfId="0" applyFill="1" applyBorder="1"/>
    <xf numFmtId="0" fontId="0" fillId="5" borderId="6" xfId="0" applyFill="1" applyBorder="1"/>
    <xf numFmtId="0" fontId="2" fillId="5" borderId="6" xfId="0" applyFont="1" applyFill="1" applyBorder="1"/>
    <xf numFmtId="0" fontId="0" fillId="5" borderId="6" xfId="0" applyFill="1" applyBorder="1" applyAlignment="1">
      <alignment horizontal="center"/>
    </xf>
    <xf numFmtId="0" fontId="0" fillId="5" borderId="23" xfId="0" applyFill="1" applyBorder="1"/>
    <xf numFmtId="0" fontId="0" fillId="5" borderId="24" xfId="0" applyFont="1" applyFill="1" applyBorder="1"/>
    <xf numFmtId="0" fontId="0" fillId="5" borderId="5" xfId="0" applyFont="1" applyFill="1" applyBorder="1"/>
    <xf numFmtId="0" fontId="2" fillId="5" borderId="5" xfId="0" applyFont="1" applyFill="1" applyBorder="1"/>
    <xf numFmtId="0" fontId="0" fillId="5" borderId="26" xfId="0" applyFont="1" applyFill="1" applyBorder="1"/>
    <xf numFmtId="2" fontId="0" fillId="5" borderId="16" xfId="0" applyNumberFormat="1" applyFont="1" applyFill="1" applyBorder="1" applyAlignment="1">
      <alignment horizontal="center"/>
    </xf>
    <xf numFmtId="2" fontId="0" fillId="5" borderId="0" xfId="0" applyNumberFormat="1" applyFont="1" applyFill="1" applyBorder="1" applyAlignment="1">
      <alignment horizontal="center"/>
    </xf>
    <xf numFmtId="2" fontId="2" fillId="5" borderId="0" xfId="0" applyNumberFormat="1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2" fontId="0" fillId="5" borderId="18" xfId="0" applyNumberFormat="1" applyFont="1" applyFill="1" applyBorder="1" applyAlignment="1">
      <alignment horizontal="center"/>
    </xf>
    <xf numFmtId="2" fontId="0" fillId="5" borderId="22" xfId="0" applyNumberFormat="1" applyFont="1" applyFill="1" applyBorder="1" applyAlignment="1">
      <alignment horizontal="center"/>
    </xf>
    <xf numFmtId="2" fontId="0" fillId="5" borderId="6" xfId="0" applyNumberFormat="1" applyFont="1" applyFill="1" applyBorder="1" applyAlignment="1">
      <alignment horizontal="center"/>
    </xf>
    <xf numFmtId="2" fontId="2" fillId="5" borderId="6" xfId="0" applyNumberFormat="1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2" fontId="0" fillId="5" borderId="23" xfId="0" applyNumberFormat="1" applyFont="1" applyFill="1" applyBorder="1" applyAlignment="1">
      <alignment horizontal="center"/>
    </xf>
    <xf numFmtId="0" fontId="0" fillId="5" borderId="19" xfId="0" applyFont="1" applyFill="1" applyBorder="1"/>
    <xf numFmtId="0" fontId="0" fillId="5" borderId="7" xfId="0" applyFont="1" applyFill="1" applyBorder="1"/>
    <xf numFmtId="2" fontId="0" fillId="5" borderId="7" xfId="0" applyNumberFormat="1" applyFill="1" applyBorder="1"/>
    <xf numFmtId="0" fontId="0" fillId="5" borderId="20" xfId="0" applyFont="1" applyFill="1" applyBorder="1"/>
    <xf numFmtId="1" fontId="0" fillId="0" borderId="0" xfId="0" applyNumberFormat="1" applyBorder="1"/>
    <xf numFmtId="1" fontId="0" fillId="0" borderId="6" xfId="0" applyNumberFormat="1" applyBorder="1"/>
    <xf numFmtId="1" fontId="0" fillId="0" borderId="5" xfId="0" applyNumberFormat="1" applyBorder="1"/>
    <xf numFmtId="0" fontId="0" fillId="0" borderId="27" xfId="0" applyBorder="1"/>
    <xf numFmtId="1" fontId="0" fillId="0" borderId="27" xfId="0" applyNumberFormat="1" applyBorder="1"/>
    <xf numFmtId="0" fontId="0" fillId="0" borderId="28" xfId="0" applyBorder="1"/>
    <xf numFmtId="0" fontId="0" fillId="0" borderId="12" xfId="0" applyBorder="1"/>
    <xf numFmtId="165" fontId="0" fillId="0" borderId="9" xfId="0" applyNumberFormat="1" applyBorder="1"/>
    <xf numFmtId="165" fontId="0" fillId="0" borderId="10" xfId="0" applyNumberFormat="1" applyBorder="1"/>
    <xf numFmtId="165" fontId="0" fillId="0" borderId="13" xfId="0" applyNumberFormat="1" applyBorder="1"/>
    <xf numFmtId="165" fontId="0" fillId="0" borderId="29" xfId="0" applyNumberFormat="1" applyBorder="1"/>
    <xf numFmtId="0" fontId="0" fillId="0" borderId="29" xfId="0" applyBorder="1"/>
    <xf numFmtId="1" fontId="0" fillId="0" borderId="11" xfId="0" applyNumberFormat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19" fillId="0" borderId="33" xfId="0" applyFont="1" applyBorder="1" applyAlignment="1"/>
    <xf numFmtId="0" fontId="19" fillId="0" borderId="0" xfId="0" applyFont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165" fontId="0" fillId="0" borderId="39" xfId="0" applyNumberFormat="1" applyBorder="1"/>
    <xf numFmtId="0" fontId="0" fillId="0" borderId="40" xfId="0" applyBorder="1"/>
    <xf numFmtId="0" fontId="0" fillId="0" borderId="41" xfId="0" applyBorder="1"/>
    <xf numFmtId="166" fontId="0" fillId="0" borderId="3" xfId="0" applyNumberFormat="1" applyBorder="1"/>
    <xf numFmtId="166" fontId="0" fillId="0" borderId="1" xfId="0" applyNumberFormat="1" applyBorder="1"/>
    <xf numFmtId="166" fontId="0" fillId="0" borderId="28" xfId="0" applyNumberFormat="1" applyBorder="1"/>
    <xf numFmtId="166" fontId="0" fillId="0" borderId="12" xfId="0" applyNumberFormat="1" applyBorder="1"/>
    <xf numFmtId="166" fontId="0" fillId="0" borderId="0" xfId="0" applyNumberFormat="1" applyFont="1" applyBorder="1"/>
    <xf numFmtId="166" fontId="0" fillId="0" borderId="6" xfId="0" applyNumberFormat="1" applyFont="1" applyBorder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1" fillId="0" borderId="0" xfId="0" applyFont="1"/>
    <xf numFmtId="14" fontId="0" fillId="0" borderId="0" xfId="0" applyNumberFormat="1" applyFont="1"/>
    <xf numFmtId="0" fontId="0" fillId="0" borderId="4" xfId="0" applyFill="1" applyBorder="1" applyAlignment="1">
      <alignment horizontal="center"/>
    </xf>
    <xf numFmtId="0" fontId="21" fillId="0" borderId="4" xfId="0" applyFont="1" applyBorder="1"/>
    <xf numFmtId="0" fontId="0" fillId="0" borderId="2" xfId="0" applyFont="1" applyFill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21" fillId="0" borderId="0" xfId="0" applyFont="1" applyBorder="1"/>
    <xf numFmtId="0" fontId="19" fillId="0" borderId="4" xfId="0" applyFont="1" applyBorder="1"/>
    <xf numFmtId="0" fontId="21" fillId="6" borderId="9" xfId="0" applyFont="1" applyFill="1" applyBorder="1"/>
    <xf numFmtId="0" fontId="0" fillId="6" borderId="4" xfId="0" applyFill="1" applyBorder="1"/>
    <xf numFmtId="0" fontId="0" fillId="6" borderId="0" xfId="0" applyFill="1" applyBorder="1"/>
    <xf numFmtId="0" fontId="0" fillId="6" borderId="3" xfId="0" applyFill="1" applyBorder="1"/>
    <xf numFmtId="0" fontId="0" fillId="6" borderId="4" xfId="0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2" fontId="0" fillId="6" borderId="4" xfId="0" applyNumberFormat="1" applyFill="1" applyBorder="1" applyAlignment="1">
      <alignment horizontal="center"/>
    </xf>
    <xf numFmtId="2" fontId="0" fillId="6" borderId="0" xfId="0" applyNumberForma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2" fontId="0" fillId="6" borderId="2" xfId="0" applyNumberFormat="1" applyFill="1" applyBorder="1" applyAlignment="1">
      <alignment horizontal="center"/>
    </xf>
    <xf numFmtId="2" fontId="0" fillId="6" borderId="6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0" borderId="11" xfId="0" applyBorder="1" applyAlignment="1"/>
    <xf numFmtId="0" fontId="0" fillId="0" borderId="5" xfId="0" applyFont="1" applyBorder="1" applyAlignment="1"/>
    <xf numFmtId="0" fontId="0" fillId="0" borderId="12" xfId="0" applyBorder="1" applyAlignment="1"/>
    <xf numFmtId="0" fontId="0" fillId="0" borderId="4" xfId="0" applyBorder="1" applyAlignment="1"/>
    <xf numFmtId="0" fontId="0" fillId="0" borderId="0" xfId="0" applyFont="1" applyBorder="1" applyAlignment="1"/>
    <xf numFmtId="0" fontId="0" fillId="0" borderId="3" xfId="0" applyBorder="1" applyAlignment="1"/>
    <xf numFmtId="0" fontId="0" fillId="0" borderId="2" xfId="0" applyBorder="1" applyAlignment="1"/>
    <xf numFmtId="0" fontId="0" fillId="0" borderId="1" xfId="0" applyBorder="1" applyAlignment="1"/>
    <xf numFmtId="2" fontId="0" fillId="0" borderId="4" xfId="0" applyNumberFormat="1" applyBorder="1"/>
    <xf numFmtId="2" fontId="0" fillId="0" borderId="2" xfId="0" applyNumberFormat="1" applyBorder="1"/>
    <xf numFmtId="0" fontId="0" fillId="0" borderId="14" xfId="0" applyBorder="1" applyAlignment="1">
      <alignment horizontal="center"/>
    </xf>
    <xf numFmtId="0" fontId="0" fillId="0" borderId="17" xfId="0" applyFill="1" applyBorder="1"/>
    <xf numFmtId="0" fontId="19" fillId="0" borderId="16" xfId="0" applyFont="1" applyBorder="1" applyAlignment="1">
      <alignment horizontal="left"/>
    </xf>
    <xf numFmtId="0" fontId="19" fillId="0" borderId="18" xfId="0" applyFont="1" applyFill="1" applyBorder="1"/>
    <xf numFmtId="0" fontId="21" fillId="0" borderId="16" xfId="0" applyFont="1" applyBorder="1"/>
    <xf numFmtId="0" fontId="0" fillId="0" borderId="22" xfId="0" applyBorder="1" applyAlignment="1">
      <alignment horizontal="center"/>
    </xf>
    <xf numFmtId="0" fontId="0" fillId="0" borderId="16" xfId="0" applyFont="1" applyBorder="1"/>
    <xf numFmtId="0" fontId="0" fillId="0" borderId="22" xfId="0" applyBorder="1"/>
    <xf numFmtId="0" fontId="0" fillId="0" borderId="20" xfId="0" applyFill="1" applyBorder="1"/>
    <xf numFmtId="2" fontId="0" fillId="0" borderId="7" xfId="0" applyNumberFormat="1" applyBorder="1"/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0" fillId="0" borderId="6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5" fontId="0" fillId="0" borderId="4" xfId="0" applyNumberFormat="1" applyFill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0" fontId="21" fillId="0" borderId="4" xfId="0" applyFont="1" applyFill="1" applyBorder="1"/>
    <xf numFmtId="2" fontId="0" fillId="0" borderId="4" xfId="0" applyNumberFormat="1" applyFill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5" fontId="6" fillId="0" borderId="4" xfId="0" applyNumberFormat="1" applyFont="1" applyFill="1" applyBorder="1" applyAlignment="1">
      <alignment horizontal="center"/>
    </xf>
    <xf numFmtId="0" fontId="0" fillId="0" borderId="0" xfId="0" applyBorder="1" applyAlignment="1"/>
    <xf numFmtId="0" fontId="19" fillId="0" borderId="0" xfId="0" applyFont="1" applyBorder="1" applyAlignment="1"/>
    <xf numFmtId="165" fontId="21" fillId="0" borderId="0" xfId="0" applyNumberFormat="1" applyFont="1" applyBorder="1" applyAlignment="1">
      <alignment horizontal="center"/>
    </xf>
    <xf numFmtId="165" fontId="21" fillId="0" borderId="4" xfId="0" applyNumberFormat="1" applyFont="1" applyBorder="1" applyAlignment="1">
      <alignment horizontal="center"/>
    </xf>
    <xf numFmtId="165" fontId="0" fillId="0" borderId="0" xfId="0" quotePrefix="1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5" fontId="6" fillId="0" borderId="2" xfId="0" applyNumberFormat="1" applyFont="1" applyFill="1" applyBorder="1" applyAlignment="1">
      <alignment horizontal="center"/>
    </xf>
    <xf numFmtId="0" fontId="19" fillId="0" borderId="42" xfId="0" applyFont="1" applyBorder="1" applyAlignment="1"/>
    <xf numFmtId="165" fontId="0" fillId="0" borderId="42" xfId="0" applyNumberFormat="1" applyBorder="1" applyAlignment="1">
      <alignment horizontal="center"/>
    </xf>
    <xf numFmtId="0" fontId="2" fillId="0" borderId="42" xfId="0" applyFont="1" applyBorder="1" applyAlignment="1">
      <alignment horizontal="center"/>
    </xf>
    <xf numFmtId="2" fontId="0" fillId="0" borderId="42" xfId="0" applyNumberFormat="1" applyBorder="1" applyAlignment="1">
      <alignment horizontal="center"/>
    </xf>
    <xf numFmtId="0" fontId="22" fillId="0" borderId="0" xfId="0" applyFont="1"/>
    <xf numFmtId="164" fontId="0" fillId="0" borderId="1" xfId="0" applyNumberFormat="1" applyBorder="1" applyAlignment="1">
      <alignment horizontal="center"/>
    </xf>
    <xf numFmtId="165" fontId="0" fillId="0" borderId="4" xfId="0" quotePrefix="1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0" fillId="0" borderId="0" xfId="0" applyFont="1" applyAlignment="1"/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65" fontId="21" fillId="0" borderId="4" xfId="0" applyNumberFormat="1" applyFont="1" applyBorder="1" applyAlignment="1">
      <alignment horizontal="left"/>
    </xf>
    <xf numFmtId="165" fontId="21" fillId="0" borderId="9" xfId="0" applyNumberFormat="1" applyFon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3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5" fontId="23" fillId="0" borderId="0" xfId="0" applyNumberFormat="1" applyFon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22" fillId="0" borderId="16" xfId="0" applyFont="1" applyBorder="1"/>
    <xf numFmtId="0" fontId="22" fillId="0" borderId="0" xfId="0" applyFont="1" applyBorder="1"/>
    <xf numFmtId="0" fontId="0" fillId="0" borderId="16" xfId="0" applyFont="1" applyFill="1" applyBorder="1"/>
    <xf numFmtId="0" fontId="0" fillId="0" borderId="16" xfId="0" applyFill="1" applyBorder="1"/>
    <xf numFmtId="164" fontId="0" fillId="0" borderId="7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7" xfId="0" applyFill="1" applyBorder="1" applyAlignment="1"/>
    <xf numFmtId="165" fontId="21" fillId="0" borderId="0" xfId="0" applyNumberFormat="1" applyFont="1" applyBorder="1" applyAlignment="1">
      <alignment horizontal="left"/>
    </xf>
    <xf numFmtId="0" fontId="0" fillId="0" borderId="43" xfId="0" applyBorder="1" applyAlignment="1">
      <alignment horizontal="center"/>
    </xf>
    <xf numFmtId="0" fontId="0" fillId="0" borderId="44" xfId="0" applyBorder="1"/>
    <xf numFmtId="0" fontId="0" fillId="0" borderId="45" xfId="0" applyBorder="1" applyAlignment="1">
      <alignment horizontal="center"/>
    </xf>
    <xf numFmtId="165" fontId="21" fillId="0" borderId="6" xfId="0" applyNumberFormat="1" applyFon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6" fontId="0" fillId="0" borderId="6" xfId="0" applyNumberFormat="1" applyFill="1" applyBorder="1" applyAlignment="1">
      <alignment horizontal="center"/>
    </xf>
    <xf numFmtId="0" fontId="20" fillId="0" borderId="0" xfId="0" applyFont="1" applyBorder="1" applyAlignment="1"/>
    <xf numFmtId="0" fontId="2" fillId="5" borderId="0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65" fontId="0" fillId="5" borderId="0" xfId="0" applyNumberFormat="1" applyFill="1" applyBorder="1" applyAlignment="1">
      <alignment horizontal="center"/>
    </xf>
    <xf numFmtId="165" fontId="0" fillId="5" borderId="6" xfId="0" applyNumberFormat="1" applyFill="1" applyBorder="1" applyAlignment="1">
      <alignment horizontal="center"/>
    </xf>
    <xf numFmtId="165" fontId="0" fillId="5" borderId="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14" fontId="21" fillId="0" borderId="0" xfId="0" applyNumberFormat="1" applyFont="1" applyAlignment="1">
      <alignment horizontal="left"/>
    </xf>
    <xf numFmtId="14" fontId="21" fillId="0" borderId="0" xfId="0" applyNumberFormat="1" applyFont="1"/>
    <xf numFmtId="0" fontId="0" fillId="0" borderId="4" xfId="0" applyFont="1" applyFill="1" applyBorder="1"/>
    <xf numFmtId="0" fontId="0" fillId="0" borderId="2" xfId="0" applyFont="1" applyBorder="1" applyAlignment="1">
      <alignment horizontal="center"/>
    </xf>
    <xf numFmtId="0" fontId="0" fillId="0" borderId="28" xfId="0" applyFont="1" applyBorder="1"/>
    <xf numFmtId="165" fontId="2" fillId="0" borderId="0" xfId="0" applyNumberFormat="1" applyFont="1" applyBorder="1" applyAlignment="1">
      <alignment horizontal="center"/>
    </xf>
    <xf numFmtId="165" fontId="23" fillId="0" borderId="15" xfId="0" applyNumberFormat="1" applyFon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23" fillId="0" borderId="7" xfId="0" applyNumberFormat="1" applyFont="1" applyBorder="1" applyAlignment="1">
      <alignment horizontal="center"/>
    </xf>
    <xf numFmtId="165" fontId="0" fillId="0" borderId="27" xfId="0" applyNumberFormat="1" applyFont="1" applyBorder="1" applyAlignment="1">
      <alignment horizontal="center"/>
    </xf>
    <xf numFmtId="165" fontId="0" fillId="0" borderId="5" xfId="0" applyNumberFormat="1" applyFont="1" applyBorder="1" applyAlignment="1">
      <alignment horizontal="center"/>
    </xf>
    <xf numFmtId="165" fontId="0" fillId="0" borderId="46" xfId="0" applyNumberFormat="1" applyFont="1" applyBorder="1" applyAlignment="1">
      <alignment horizontal="center"/>
    </xf>
    <xf numFmtId="0" fontId="0" fillId="0" borderId="6" xfId="0" applyFill="1" applyBorder="1"/>
    <xf numFmtId="0" fontId="0" fillId="0" borderId="4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" fontId="0" fillId="0" borderId="6" xfId="0" applyNumberFormat="1" applyBorder="1" applyAlignment="1">
      <alignment horizontal="center"/>
    </xf>
    <xf numFmtId="165" fontId="0" fillId="0" borderId="29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46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166" fontId="0" fillId="0" borderId="0" xfId="0" applyNumberFormat="1" applyBorder="1"/>
    <xf numFmtId="166" fontId="0" fillId="0" borderId="6" xfId="0" applyNumberFormat="1" applyBorder="1"/>
    <xf numFmtId="0" fontId="0" fillId="0" borderId="27" xfId="0" applyBorder="1" applyAlignment="1">
      <alignment horizontal="center"/>
    </xf>
    <xf numFmtId="166" fontId="0" fillId="0" borderId="0" xfId="0" applyNumberFormat="1" applyFont="1" applyBorder="1" applyAlignment="1">
      <alignment horizontal="center"/>
    </xf>
    <xf numFmtId="166" fontId="0" fillId="0" borderId="6" xfId="0" applyNumberFormat="1" applyFont="1" applyBorder="1" applyAlignment="1">
      <alignment horizontal="center"/>
    </xf>
    <xf numFmtId="166" fontId="0" fillId="0" borderId="5" xfId="0" applyNumberFormat="1" applyFont="1" applyBorder="1" applyAlignment="1">
      <alignment horizontal="center"/>
    </xf>
    <xf numFmtId="166" fontId="0" fillId="0" borderId="27" xfId="0" applyNumberFormat="1" applyFon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66" fontId="0" fillId="0" borderId="9" xfId="0" applyNumberFormat="1" applyFont="1" applyBorder="1" applyAlignment="1">
      <alignment horizontal="center"/>
    </xf>
    <xf numFmtId="166" fontId="0" fillId="0" borderId="10" xfId="0" applyNumberFormat="1" applyFont="1" applyBorder="1" applyAlignment="1">
      <alignment horizontal="center"/>
    </xf>
    <xf numFmtId="166" fontId="0" fillId="0" borderId="13" xfId="0" applyNumberFormat="1" applyFont="1" applyBorder="1" applyAlignment="1">
      <alignment horizontal="center"/>
    </xf>
    <xf numFmtId="166" fontId="0" fillId="0" borderId="29" xfId="0" applyNumberFormat="1" applyFont="1" applyBorder="1" applyAlignment="1">
      <alignment horizontal="center"/>
    </xf>
    <xf numFmtId="0" fontId="0" fillId="0" borderId="35" xfId="0" applyFont="1" applyBorder="1"/>
    <xf numFmtId="0" fontId="0" fillId="0" borderId="36" xfId="0" applyFont="1" applyBorder="1"/>
    <xf numFmtId="0" fontId="0" fillId="0" borderId="38" xfId="0" applyFont="1" applyBorder="1"/>
    <xf numFmtId="0" fontId="0" fillId="0" borderId="37" xfId="0" applyFont="1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46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0" fillId="0" borderId="27" xfId="0" applyFont="1" applyBorder="1"/>
    <xf numFmtId="1" fontId="0" fillId="0" borderId="27" xfId="0" applyNumberFormat="1" applyFont="1" applyBorder="1" applyAlignment="1">
      <alignment horizontal="center"/>
    </xf>
    <xf numFmtId="0" fontId="0" fillId="0" borderId="11" xfId="0" applyFont="1" applyBorder="1"/>
    <xf numFmtId="0" fontId="0" fillId="0" borderId="46" xfId="0" applyFont="1" applyBorder="1"/>
    <xf numFmtId="1" fontId="0" fillId="0" borderId="0" xfId="0" applyNumberFormat="1" applyAlignment="1">
      <alignment horizontal="center"/>
    </xf>
    <xf numFmtId="1" fontId="0" fillId="0" borderId="10" xfId="0" applyNumberFormat="1" applyBorder="1"/>
    <xf numFmtId="1" fontId="0" fillId="0" borderId="13" xfId="0" applyNumberFormat="1" applyBorder="1"/>
    <xf numFmtId="1" fontId="0" fillId="0" borderId="29" xfId="0" applyNumberFormat="1" applyBorder="1"/>
    <xf numFmtId="1" fontId="0" fillId="0" borderId="9" xfId="0" applyNumberFormat="1" applyFill="1" applyBorder="1"/>
    <xf numFmtId="1" fontId="0" fillId="0" borderId="4" xfId="0" applyNumberFormat="1" applyBorder="1"/>
    <xf numFmtId="1" fontId="0" fillId="0" borderId="0" xfId="0" applyNumberFormat="1" applyFill="1" applyBorder="1"/>
    <xf numFmtId="0" fontId="19" fillId="0" borderId="16" xfId="0" applyFont="1" applyBorder="1"/>
    <xf numFmtId="0" fontId="0" fillId="0" borderId="47" xfId="0" applyBorder="1"/>
    <xf numFmtId="0" fontId="24" fillId="0" borderId="0" xfId="0" applyFont="1"/>
    <xf numFmtId="0" fontId="24" fillId="0" borderId="16" xfId="0" applyFont="1" applyBorder="1"/>
    <xf numFmtId="0" fontId="24" fillId="0" borderId="3" xfId="0" applyFont="1" applyBorder="1"/>
    <xf numFmtId="0" fontId="24" fillId="0" borderId="4" xfId="0" applyFont="1" applyBorder="1"/>
    <xf numFmtId="0" fontId="24" fillId="0" borderId="16" xfId="0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24" fillId="0" borderId="0" xfId="0" applyFont="1" applyAlignment="1">
      <alignment horizontal="center"/>
    </xf>
    <xf numFmtId="165" fontId="24" fillId="0" borderId="4" xfId="0" applyNumberFormat="1" applyFont="1" applyBorder="1" applyAlignment="1">
      <alignment horizontal="center"/>
    </xf>
    <xf numFmtId="1" fontId="24" fillId="0" borderId="3" xfId="0" applyNumberFormat="1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1" fontId="24" fillId="0" borderId="0" xfId="0" applyNumberFormat="1" applyFont="1" applyAlignment="1">
      <alignment horizontal="center"/>
    </xf>
    <xf numFmtId="0" fontId="24" fillId="0" borderId="0" xfId="0" applyFont="1" applyBorder="1"/>
    <xf numFmtId="0" fontId="24" fillId="0" borderId="0" xfId="0" applyFont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24" fillId="5" borderId="16" xfId="0" applyFont="1" applyFill="1" applyBorder="1" applyAlignment="1">
      <alignment horizontal="center"/>
    </xf>
    <xf numFmtId="0" fontId="24" fillId="5" borderId="3" xfId="0" applyFont="1" applyFill="1" applyBorder="1" applyAlignment="1">
      <alignment horizontal="center"/>
    </xf>
    <xf numFmtId="0" fontId="24" fillId="5" borderId="0" xfId="0" applyFont="1" applyFill="1" applyAlignment="1">
      <alignment horizontal="center"/>
    </xf>
    <xf numFmtId="165" fontId="24" fillId="5" borderId="4" xfId="0" applyNumberFormat="1" applyFont="1" applyFill="1" applyBorder="1" applyAlignment="1">
      <alignment horizontal="center"/>
    </xf>
    <xf numFmtId="1" fontId="24" fillId="5" borderId="3" xfId="0" applyNumberFormat="1" applyFont="1" applyFill="1" applyBorder="1" applyAlignment="1">
      <alignment horizontal="center"/>
    </xf>
    <xf numFmtId="0" fontId="24" fillId="5" borderId="4" xfId="0" applyFont="1" applyFill="1" applyBorder="1" applyAlignment="1">
      <alignment horizontal="center"/>
    </xf>
    <xf numFmtId="0" fontId="24" fillId="5" borderId="22" xfId="0" applyFont="1" applyFill="1" applyBorder="1" applyAlignment="1">
      <alignment horizontal="center"/>
    </xf>
    <xf numFmtId="0" fontId="24" fillId="5" borderId="1" xfId="0" applyFont="1" applyFill="1" applyBorder="1" applyAlignment="1">
      <alignment horizontal="center"/>
    </xf>
    <xf numFmtId="0" fontId="24" fillId="5" borderId="2" xfId="0" applyFont="1" applyFill="1" applyBorder="1" applyAlignment="1">
      <alignment horizontal="center"/>
    </xf>
    <xf numFmtId="165" fontId="24" fillId="5" borderId="2" xfId="0" applyNumberFormat="1" applyFont="1" applyFill="1" applyBorder="1" applyAlignment="1">
      <alignment horizontal="center"/>
    </xf>
    <xf numFmtId="1" fontId="24" fillId="5" borderId="1" xfId="0" applyNumberFormat="1" applyFont="1" applyFill="1" applyBorder="1" applyAlignment="1">
      <alignment horizontal="center"/>
    </xf>
    <xf numFmtId="0" fontId="24" fillId="5" borderId="6" xfId="0" applyFont="1" applyFill="1" applyBorder="1" applyAlignment="1">
      <alignment horizontal="center"/>
    </xf>
    <xf numFmtId="0" fontId="24" fillId="7" borderId="16" xfId="0" applyFont="1" applyFill="1" applyBorder="1"/>
    <xf numFmtId="0" fontId="24" fillId="7" borderId="3" xfId="0" applyFont="1" applyFill="1" applyBorder="1"/>
    <xf numFmtId="0" fontId="24" fillId="7" borderId="4" xfId="0" applyFont="1" applyFill="1" applyBorder="1"/>
    <xf numFmtId="0" fontId="24" fillId="7" borderId="0" xfId="0" applyFont="1" applyFill="1" applyBorder="1"/>
    <xf numFmtId="0" fontId="24" fillId="7" borderId="22" xfId="0" applyFont="1" applyFill="1" applyBorder="1"/>
    <xf numFmtId="0" fontId="24" fillId="7" borderId="1" xfId="0" applyFont="1" applyFill="1" applyBorder="1"/>
    <xf numFmtId="0" fontId="24" fillId="7" borderId="2" xfId="0" applyFont="1" applyFill="1" applyBorder="1"/>
    <xf numFmtId="0" fontId="24" fillId="7" borderId="6" xfId="0" applyFont="1" applyFill="1" applyBorder="1"/>
    <xf numFmtId="0" fontId="24" fillId="5" borderId="0" xfId="0" applyFont="1" applyFill="1" applyBorder="1"/>
    <xf numFmtId="0" fontId="24" fillId="5" borderId="0" xfId="0" applyFont="1" applyFill="1" applyBorder="1" applyAlignment="1">
      <alignment horizontal="center"/>
    </xf>
    <xf numFmtId="0" fontId="24" fillId="5" borderId="6" xfId="0" applyFont="1" applyFill="1" applyBorder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6" xfId="0" applyFont="1" applyBorder="1" applyAlignment="1">
      <alignment horizontal="center" wrapText="1"/>
    </xf>
    <xf numFmtId="2" fontId="0" fillId="0" borderId="6" xfId="0" applyNumberFormat="1" applyFont="1" applyBorder="1" applyAlignment="1">
      <alignment horizontal="center" wrapText="1"/>
    </xf>
    <xf numFmtId="0" fontId="0" fillId="0" borderId="2" xfId="0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2" fontId="0" fillId="0" borderId="0" xfId="0" applyNumberFormat="1" applyFont="1" applyBorder="1" applyAlignment="1">
      <alignment horizontal="center"/>
    </xf>
    <xf numFmtId="4" fontId="8" fillId="0" borderId="0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2" fontId="0" fillId="0" borderId="6" xfId="0" applyNumberForma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5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0" fillId="0" borderId="4" xfId="0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19" fillId="0" borderId="0" xfId="0" applyFont="1" applyAlignment="1">
      <alignment horizontal="center"/>
    </xf>
    <xf numFmtId="0" fontId="20" fillId="0" borderId="16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2" borderId="0" xfId="0" applyFont="1" applyFill="1"/>
    <xf numFmtId="0" fontId="0" fillId="0" borderId="3" xfId="0" applyFont="1" applyFill="1" applyBorder="1"/>
    <xf numFmtId="2" fontId="6" fillId="0" borderId="0" xfId="0" applyNumberFormat="1" applyFont="1" applyAlignment="1">
      <alignment wrapText="1"/>
    </xf>
    <xf numFmtId="2" fontId="6" fillId="0" borderId="0" xfId="0" applyNumberFormat="1" applyFont="1" applyBorder="1" applyAlignment="1">
      <alignment wrapText="1"/>
    </xf>
    <xf numFmtId="0" fontId="0" fillId="0" borderId="0" xfId="0" applyFont="1" applyAlignment="1">
      <alignment horizontal="left" wrapText="1"/>
    </xf>
    <xf numFmtId="0" fontId="0" fillId="0" borderId="9" xfId="0" applyFont="1" applyFill="1" applyBorder="1" applyAlignment="1">
      <alignment horizontal="left"/>
    </xf>
    <xf numFmtId="1" fontId="0" fillId="0" borderId="0" xfId="0" applyNumberFormat="1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8" borderId="0" xfId="0" applyFont="1" applyFill="1" applyBorder="1"/>
    <xf numFmtId="0" fontId="0" fillId="8" borderId="0" xfId="0" applyFont="1" applyFill="1"/>
    <xf numFmtId="0" fontId="0" fillId="0" borderId="9" xfId="0" applyFill="1" applyBorder="1"/>
    <xf numFmtId="0" fontId="0" fillId="9" borderId="9" xfId="0" applyFont="1" applyFill="1" applyBorder="1"/>
    <xf numFmtId="0" fontId="0" fillId="9" borderId="0" xfId="0" applyFont="1" applyFill="1" applyBorder="1"/>
    <xf numFmtId="4" fontId="0" fillId="0" borderId="9" xfId="0" applyNumberFormat="1" applyFont="1" applyBorder="1"/>
    <xf numFmtId="4" fontId="0" fillId="0" borderId="10" xfId="0" applyNumberFormat="1" applyFont="1" applyBorder="1"/>
    <xf numFmtId="0" fontId="0" fillId="9" borderId="10" xfId="0" applyFont="1" applyFill="1" applyBorder="1"/>
    <xf numFmtId="0" fontId="0" fillId="9" borderId="6" xfId="0" applyFont="1" applyFill="1" applyBorder="1"/>
    <xf numFmtId="4" fontId="8" fillId="0" borderId="9" xfId="0" applyNumberFormat="1" applyFont="1" applyFill="1" applyBorder="1" applyAlignment="1"/>
    <xf numFmtId="0" fontId="0" fillId="2" borderId="6" xfId="0" applyFont="1" applyFill="1" applyBorder="1"/>
    <xf numFmtId="0" fontId="0" fillId="2" borderId="10" xfId="0" applyFon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</a:t>
            </a:r>
            <a:r>
              <a:rPr lang="en-US" baseline="0"/>
              <a:t> Slats: Thickness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A!$C$81:$C$87</c:f>
              <c:strCache>
                <c:ptCount val="7"/>
                <c:pt idx="0">
                  <c:v>0.35</c:v>
                </c:pt>
                <c:pt idx="1">
                  <c:v>0.36</c:v>
                </c:pt>
                <c:pt idx="2">
                  <c:v>0.37</c:v>
                </c:pt>
                <c:pt idx="3">
                  <c:v>0.38</c:v>
                </c:pt>
                <c:pt idx="4">
                  <c:v>0.39</c:v>
                </c:pt>
                <c:pt idx="5">
                  <c:v>0.4</c:v>
                </c:pt>
                <c:pt idx="6">
                  <c:v>More</c:v>
                </c:pt>
              </c:strCache>
            </c:strRef>
          </c:cat>
          <c:val>
            <c:numRef>
              <c:f>A!$D$81:$D$87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19</c:v>
                </c:pt>
                <c:pt idx="3">
                  <c:v>122</c:v>
                </c:pt>
                <c:pt idx="4">
                  <c:v>123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</c:ser>
        <c:axId val="72404992"/>
        <c:axId val="72406912"/>
      </c:barChart>
      <c:catAx>
        <c:axId val="72404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</c:title>
        <c:tickLblPos val="nextTo"/>
        <c:crossAx val="72406912"/>
        <c:crosses val="autoZero"/>
        <c:auto val="1"/>
        <c:lblAlgn val="ctr"/>
        <c:lblOffset val="100"/>
      </c:catAx>
      <c:valAx>
        <c:axId val="7240691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72404992"/>
        <c:crosses val="autoZero"/>
        <c:crossBetween val="between"/>
      </c:valAx>
    </c:plotArea>
    <c:plotVisOnly val="1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Fs</a:t>
            </a:r>
            <a:r>
              <a:rPr lang="en-US" baseline="0"/>
              <a:t> Slats: Thickness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Fs!$C$45:$C$61</c:f>
              <c:strCache>
                <c:ptCount val="17"/>
                <c:pt idx="0">
                  <c:v>0.94</c:v>
                </c:pt>
                <c:pt idx="1">
                  <c:v>0.95</c:v>
                </c:pt>
                <c:pt idx="2">
                  <c:v>0.96</c:v>
                </c:pt>
                <c:pt idx="3">
                  <c:v>0.97</c:v>
                </c:pt>
                <c:pt idx="4">
                  <c:v>0.98</c:v>
                </c:pt>
                <c:pt idx="5">
                  <c:v>0.99</c:v>
                </c:pt>
                <c:pt idx="6">
                  <c:v>1</c:v>
                </c:pt>
                <c:pt idx="7">
                  <c:v>1.01</c:v>
                </c:pt>
                <c:pt idx="8">
                  <c:v>1.02</c:v>
                </c:pt>
                <c:pt idx="9">
                  <c:v>1.03</c:v>
                </c:pt>
                <c:pt idx="10">
                  <c:v>1.04</c:v>
                </c:pt>
                <c:pt idx="11">
                  <c:v>1.05</c:v>
                </c:pt>
                <c:pt idx="12">
                  <c:v>1.06</c:v>
                </c:pt>
                <c:pt idx="13">
                  <c:v>1.07</c:v>
                </c:pt>
                <c:pt idx="14">
                  <c:v>1.08</c:v>
                </c:pt>
                <c:pt idx="15">
                  <c:v>1.09</c:v>
                </c:pt>
                <c:pt idx="16">
                  <c:v>More</c:v>
                </c:pt>
              </c:strCache>
            </c:strRef>
          </c:cat>
          <c:val>
            <c:numRef>
              <c:f>Fs!$D$45:$D$61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15</c:v>
                </c:pt>
                <c:pt idx="8">
                  <c:v>29</c:v>
                </c:pt>
                <c:pt idx="9">
                  <c:v>10</c:v>
                </c:pt>
                <c:pt idx="10">
                  <c:v>7</c:v>
                </c:pt>
                <c:pt idx="11">
                  <c:v>10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axId val="88934272"/>
        <c:axId val="88944640"/>
      </c:barChart>
      <c:catAx>
        <c:axId val="88934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</c:title>
        <c:tickLblPos val="nextTo"/>
        <c:crossAx val="88944640"/>
        <c:crosses val="autoZero"/>
        <c:auto val="1"/>
        <c:lblAlgn val="ctr"/>
        <c:lblOffset val="100"/>
      </c:catAx>
      <c:valAx>
        <c:axId val="8894464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88934272"/>
        <c:crosses val="autoZero"/>
        <c:crossBetween val="between"/>
      </c:valAx>
    </c:plotArea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</a:t>
            </a:r>
            <a:r>
              <a:rPr lang="en-US" baseline="0"/>
              <a:t> Slats: Thickness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G!$C$47:$C$63</c:f>
              <c:strCache>
                <c:ptCount val="17"/>
                <c:pt idx="0">
                  <c:v>1.24</c:v>
                </c:pt>
                <c:pt idx="1">
                  <c:v>1.25</c:v>
                </c:pt>
                <c:pt idx="2">
                  <c:v>1.26</c:v>
                </c:pt>
                <c:pt idx="3">
                  <c:v>1.27</c:v>
                </c:pt>
                <c:pt idx="4">
                  <c:v>1.28</c:v>
                </c:pt>
                <c:pt idx="5">
                  <c:v>1.29</c:v>
                </c:pt>
                <c:pt idx="6">
                  <c:v>1.3</c:v>
                </c:pt>
                <c:pt idx="7">
                  <c:v>1.31</c:v>
                </c:pt>
                <c:pt idx="8">
                  <c:v>1.32</c:v>
                </c:pt>
                <c:pt idx="9">
                  <c:v>1.33</c:v>
                </c:pt>
                <c:pt idx="10">
                  <c:v>1.34</c:v>
                </c:pt>
                <c:pt idx="11">
                  <c:v>1.35</c:v>
                </c:pt>
                <c:pt idx="12">
                  <c:v>1.36</c:v>
                </c:pt>
                <c:pt idx="13">
                  <c:v>1.37</c:v>
                </c:pt>
                <c:pt idx="14">
                  <c:v>1.38</c:v>
                </c:pt>
                <c:pt idx="15">
                  <c:v>1.39</c:v>
                </c:pt>
                <c:pt idx="16">
                  <c:v>More</c:v>
                </c:pt>
              </c:strCache>
            </c:strRef>
          </c:cat>
          <c:val>
            <c:numRef>
              <c:f>G!$D$47:$D$63</c:f>
              <c:numCache>
                <c:formatCode>General</c:formatCode>
                <c:ptCount val="17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6</c:v>
                </c:pt>
                <c:pt idx="7">
                  <c:v>14</c:v>
                </c:pt>
                <c:pt idx="8">
                  <c:v>19</c:v>
                </c:pt>
                <c:pt idx="9">
                  <c:v>14</c:v>
                </c:pt>
                <c:pt idx="10">
                  <c:v>16</c:v>
                </c:pt>
                <c:pt idx="11">
                  <c:v>14</c:v>
                </c:pt>
                <c:pt idx="12">
                  <c:v>8</c:v>
                </c:pt>
                <c:pt idx="13">
                  <c:v>6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axId val="88969216"/>
        <c:axId val="88971136"/>
      </c:barChart>
      <c:catAx>
        <c:axId val="88969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 (mm)</a:t>
                </a:r>
              </a:p>
            </c:rich>
          </c:tx>
          <c:layout/>
        </c:title>
        <c:tickLblPos val="nextTo"/>
        <c:crossAx val="88971136"/>
        <c:crosses val="autoZero"/>
        <c:auto val="1"/>
        <c:lblAlgn val="ctr"/>
        <c:lblOffset val="100"/>
      </c:catAx>
      <c:valAx>
        <c:axId val="8897113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88969216"/>
        <c:crosses val="autoZero"/>
        <c:crossBetween val="between"/>
      </c:valAx>
    </c:plotArea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Gs</a:t>
            </a:r>
            <a:r>
              <a:rPr lang="en-US" baseline="0"/>
              <a:t> Slats: Thickness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Gs!$C$40:$C$56</c:f>
              <c:strCache>
                <c:ptCount val="17"/>
                <c:pt idx="0">
                  <c:v>1.24</c:v>
                </c:pt>
                <c:pt idx="1">
                  <c:v>1.25</c:v>
                </c:pt>
                <c:pt idx="2">
                  <c:v>1.26</c:v>
                </c:pt>
                <c:pt idx="3">
                  <c:v>1.27</c:v>
                </c:pt>
                <c:pt idx="4">
                  <c:v>1.28</c:v>
                </c:pt>
                <c:pt idx="5">
                  <c:v>1.29</c:v>
                </c:pt>
                <c:pt idx="6">
                  <c:v>1.3</c:v>
                </c:pt>
                <c:pt idx="7">
                  <c:v>1.31</c:v>
                </c:pt>
                <c:pt idx="8">
                  <c:v>1.32</c:v>
                </c:pt>
                <c:pt idx="9">
                  <c:v>1.33</c:v>
                </c:pt>
                <c:pt idx="10">
                  <c:v>1.34</c:v>
                </c:pt>
                <c:pt idx="11">
                  <c:v>1.35</c:v>
                </c:pt>
                <c:pt idx="12">
                  <c:v>1.36</c:v>
                </c:pt>
                <c:pt idx="13">
                  <c:v>1.37</c:v>
                </c:pt>
                <c:pt idx="14">
                  <c:v>1.38</c:v>
                </c:pt>
                <c:pt idx="15">
                  <c:v>1.39</c:v>
                </c:pt>
                <c:pt idx="16">
                  <c:v>More</c:v>
                </c:pt>
              </c:strCache>
            </c:strRef>
          </c:cat>
          <c:val>
            <c:numRef>
              <c:f>Gs!$D$40:$D$56</c:f>
              <c:numCache>
                <c:formatCode>General</c:formatCode>
                <c:ptCount val="17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11</c:v>
                </c:pt>
                <c:pt idx="4">
                  <c:v>17</c:v>
                </c:pt>
                <c:pt idx="5">
                  <c:v>9</c:v>
                </c:pt>
                <c:pt idx="6">
                  <c:v>11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axId val="89118592"/>
        <c:axId val="89391104"/>
      </c:barChart>
      <c:catAx>
        <c:axId val="89118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</c:title>
        <c:tickLblPos val="nextTo"/>
        <c:crossAx val="89391104"/>
        <c:crosses val="autoZero"/>
        <c:auto val="1"/>
        <c:lblAlgn val="ctr"/>
        <c:lblOffset val="100"/>
      </c:catAx>
      <c:valAx>
        <c:axId val="893911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89118592"/>
        <c:crosses val="autoZero"/>
        <c:crossBetween val="between"/>
      </c:valAx>
    </c:plotArea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</a:t>
            </a:r>
            <a:r>
              <a:rPr lang="en-US" baseline="0"/>
              <a:t> Slats: Thickness</a:t>
            </a:r>
            <a:endParaRPr lang="en-US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H!$C$42:$C$53</c:f>
              <c:strCache>
                <c:ptCount val="12"/>
                <c:pt idx="0">
                  <c:v>1.48</c:v>
                </c:pt>
                <c:pt idx="1">
                  <c:v>1.49</c:v>
                </c:pt>
                <c:pt idx="2">
                  <c:v>1.5</c:v>
                </c:pt>
                <c:pt idx="3">
                  <c:v>1.51</c:v>
                </c:pt>
                <c:pt idx="4">
                  <c:v>1.52</c:v>
                </c:pt>
                <c:pt idx="5">
                  <c:v>1.53</c:v>
                </c:pt>
                <c:pt idx="6">
                  <c:v>1.54</c:v>
                </c:pt>
                <c:pt idx="7">
                  <c:v>1.55</c:v>
                </c:pt>
                <c:pt idx="8">
                  <c:v>1.56</c:v>
                </c:pt>
                <c:pt idx="9">
                  <c:v>1.57</c:v>
                </c:pt>
                <c:pt idx="10">
                  <c:v>1.58</c:v>
                </c:pt>
                <c:pt idx="11">
                  <c:v>More</c:v>
                </c:pt>
              </c:strCache>
            </c:strRef>
          </c:cat>
          <c:val>
            <c:numRef>
              <c:f>H!$D$42:$D$53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15</c:v>
                </c:pt>
                <c:pt idx="6">
                  <c:v>26</c:v>
                </c:pt>
                <c:pt idx="7">
                  <c:v>22</c:v>
                </c:pt>
                <c:pt idx="8">
                  <c:v>16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axId val="89464832"/>
        <c:axId val="89466752"/>
      </c:barChart>
      <c:catAx>
        <c:axId val="89464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</c:title>
        <c:tickLblPos val="nextTo"/>
        <c:crossAx val="89466752"/>
        <c:crosses val="autoZero"/>
        <c:auto val="1"/>
        <c:lblAlgn val="ctr"/>
        <c:lblOffset val="100"/>
      </c:catAx>
      <c:valAx>
        <c:axId val="8946675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89464832"/>
        <c:crosses val="autoZero"/>
        <c:crossBetween val="between"/>
      </c:valAx>
    </c:plotArea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</a:t>
            </a:r>
            <a:r>
              <a:rPr lang="en-US" baseline="0"/>
              <a:t> Slats: Thickness</a:t>
            </a:r>
            <a:endParaRPr lang="en-US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I!$C$42:$C$62</c:f>
              <c:strCache>
                <c:ptCount val="21"/>
                <c:pt idx="0">
                  <c:v>1.92</c:v>
                </c:pt>
                <c:pt idx="1">
                  <c:v>1.93</c:v>
                </c:pt>
                <c:pt idx="2">
                  <c:v>1.94</c:v>
                </c:pt>
                <c:pt idx="3">
                  <c:v>1.95</c:v>
                </c:pt>
                <c:pt idx="4">
                  <c:v>1.96</c:v>
                </c:pt>
                <c:pt idx="5">
                  <c:v>1.97</c:v>
                </c:pt>
                <c:pt idx="6">
                  <c:v>1.98</c:v>
                </c:pt>
                <c:pt idx="7">
                  <c:v>1.99</c:v>
                </c:pt>
                <c:pt idx="8">
                  <c:v>2</c:v>
                </c:pt>
                <c:pt idx="9">
                  <c:v>2.01</c:v>
                </c:pt>
                <c:pt idx="10">
                  <c:v>2.02</c:v>
                </c:pt>
                <c:pt idx="11">
                  <c:v>2.03</c:v>
                </c:pt>
                <c:pt idx="12">
                  <c:v>2.04</c:v>
                </c:pt>
                <c:pt idx="13">
                  <c:v>2.05</c:v>
                </c:pt>
                <c:pt idx="14">
                  <c:v>2.06</c:v>
                </c:pt>
                <c:pt idx="15">
                  <c:v>2.07</c:v>
                </c:pt>
                <c:pt idx="16">
                  <c:v>2.08</c:v>
                </c:pt>
                <c:pt idx="17">
                  <c:v>2.09</c:v>
                </c:pt>
                <c:pt idx="18">
                  <c:v>2.1</c:v>
                </c:pt>
                <c:pt idx="19">
                  <c:v>2.11</c:v>
                </c:pt>
                <c:pt idx="20">
                  <c:v>More</c:v>
                </c:pt>
              </c:strCache>
            </c:strRef>
          </c:cat>
          <c:val>
            <c:numRef>
              <c:f>I!$D$42:$D$62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11</c:v>
                </c:pt>
                <c:pt idx="7">
                  <c:v>10</c:v>
                </c:pt>
                <c:pt idx="8">
                  <c:v>17</c:v>
                </c:pt>
                <c:pt idx="9">
                  <c:v>9</c:v>
                </c:pt>
                <c:pt idx="10">
                  <c:v>0</c:v>
                </c:pt>
                <c:pt idx="11">
                  <c:v>2</c:v>
                </c:pt>
                <c:pt idx="12">
                  <c:v>6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</c:ser>
        <c:axId val="89545344"/>
        <c:axId val="89551616"/>
      </c:barChart>
      <c:catAx>
        <c:axId val="89545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</c:title>
        <c:tickLblPos val="nextTo"/>
        <c:crossAx val="89551616"/>
        <c:crosses val="autoZero"/>
        <c:auto val="1"/>
        <c:lblAlgn val="ctr"/>
        <c:lblOffset val="100"/>
      </c:catAx>
      <c:valAx>
        <c:axId val="8955161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89545344"/>
        <c:crosses val="autoZero"/>
        <c:crossBetween val="between"/>
      </c:valAx>
    </c:plotArea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J</a:t>
            </a:r>
            <a:r>
              <a:rPr lang="en-US" baseline="0"/>
              <a:t> Slats: Thickness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J!$C$37:$C$50</c:f>
              <c:strCache>
                <c:ptCount val="14"/>
                <c:pt idx="0">
                  <c:v>3.35</c:v>
                </c:pt>
                <c:pt idx="1">
                  <c:v>3.36</c:v>
                </c:pt>
                <c:pt idx="2">
                  <c:v>3.37</c:v>
                </c:pt>
                <c:pt idx="3">
                  <c:v>3.38</c:v>
                </c:pt>
                <c:pt idx="4">
                  <c:v>3.39</c:v>
                </c:pt>
                <c:pt idx="5">
                  <c:v>3.4</c:v>
                </c:pt>
                <c:pt idx="6">
                  <c:v>3.41</c:v>
                </c:pt>
                <c:pt idx="7">
                  <c:v>3.42</c:v>
                </c:pt>
                <c:pt idx="8">
                  <c:v>3.43</c:v>
                </c:pt>
                <c:pt idx="9">
                  <c:v>3.44</c:v>
                </c:pt>
                <c:pt idx="10">
                  <c:v>3.45</c:v>
                </c:pt>
                <c:pt idx="11">
                  <c:v>3.46</c:v>
                </c:pt>
                <c:pt idx="12">
                  <c:v>3.47</c:v>
                </c:pt>
                <c:pt idx="13">
                  <c:v>More</c:v>
                </c:pt>
              </c:strCache>
            </c:strRef>
          </c:cat>
          <c:val>
            <c:numRef>
              <c:f>J!$D$37:$D$50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8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13</c:v>
                </c:pt>
                <c:pt idx="9">
                  <c:v>12</c:v>
                </c:pt>
                <c:pt idx="10">
                  <c:v>10</c:v>
                </c:pt>
                <c:pt idx="11">
                  <c:v>10</c:v>
                </c:pt>
                <c:pt idx="12">
                  <c:v>6</c:v>
                </c:pt>
                <c:pt idx="13">
                  <c:v>0</c:v>
                </c:pt>
              </c:numCache>
            </c:numRef>
          </c:val>
        </c:ser>
        <c:axId val="89596288"/>
        <c:axId val="89598208"/>
      </c:barChart>
      <c:catAx>
        <c:axId val="89596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</c:title>
        <c:tickLblPos val="nextTo"/>
        <c:crossAx val="89598208"/>
        <c:crosses val="autoZero"/>
        <c:auto val="1"/>
        <c:lblAlgn val="ctr"/>
        <c:lblOffset val="100"/>
      </c:catAx>
      <c:valAx>
        <c:axId val="8959820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89596288"/>
        <c:crosses val="autoZero"/>
        <c:crossBetween val="between"/>
      </c:valAx>
    </c:plotArea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</a:t>
            </a:r>
            <a:r>
              <a:rPr lang="en-US" baseline="0"/>
              <a:t> Slats: Thickness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K!$C$31:$C$50</c:f>
              <c:strCache>
                <c:ptCount val="20"/>
                <c:pt idx="0">
                  <c:v>6.57</c:v>
                </c:pt>
                <c:pt idx="1">
                  <c:v>6.58</c:v>
                </c:pt>
                <c:pt idx="2">
                  <c:v>6.59</c:v>
                </c:pt>
                <c:pt idx="3">
                  <c:v>6.60</c:v>
                </c:pt>
                <c:pt idx="4">
                  <c:v>6.61</c:v>
                </c:pt>
                <c:pt idx="5">
                  <c:v>6.62</c:v>
                </c:pt>
                <c:pt idx="6">
                  <c:v>6.63</c:v>
                </c:pt>
                <c:pt idx="7">
                  <c:v>6.64</c:v>
                </c:pt>
                <c:pt idx="8">
                  <c:v>6.65</c:v>
                </c:pt>
                <c:pt idx="9">
                  <c:v>6.66</c:v>
                </c:pt>
                <c:pt idx="10">
                  <c:v>6.67</c:v>
                </c:pt>
                <c:pt idx="11">
                  <c:v>6.68</c:v>
                </c:pt>
                <c:pt idx="12">
                  <c:v>6.69</c:v>
                </c:pt>
                <c:pt idx="13">
                  <c:v>6.70</c:v>
                </c:pt>
                <c:pt idx="14">
                  <c:v>6.71</c:v>
                </c:pt>
                <c:pt idx="15">
                  <c:v>6.72</c:v>
                </c:pt>
                <c:pt idx="16">
                  <c:v>6.73</c:v>
                </c:pt>
                <c:pt idx="17">
                  <c:v>6.74</c:v>
                </c:pt>
                <c:pt idx="18">
                  <c:v>6.75</c:v>
                </c:pt>
                <c:pt idx="19">
                  <c:v>More</c:v>
                </c:pt>
              </c:strCache>
            </c:strRef>
          </c:cat>
          <c:val>
            <c:numRef>
              <c:f>K!$D$31:$D$50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102582528"/>
        <c:axId val="102596992"/>
      </c:barChart>
      <c:catAx>
        <c:axId val="102582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</c:title>
        <c:tickLblPos val="nextTo"/>
        <c:crossAx val="102596992"/>
        <c:crosses val="autoZero"/>
        <c:auto val="1"/>
        <c:lblAlgn val="ctr"/>
        <c:lblOffset val="100"/>
      </c:catAx>
      <c:valAx>
        <c:axId val="10259699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02582528"/>
        <c:crosses val="autoZero"/>
        <c:crossBetween val="between"/>
      </c:valAx>
    </c:plotArea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</a:t>
            </a:r>
            <a:r>
              <a:rPr lang="en-US" baseline="0"/>
              <a:t>s Slats: Thickness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Ks!$C$28:$C$47</c:f>
              <c:strCache>
                <c:ptCount val="20"/>
                <c:pt idx="0">
                  <c:v>6.57</c:v>
                </c:pt>
                <c:pt idx="1">
                  <c:v>6.58</c:v>
                </c:pt>
                <c:pt idx="2">
                  <c:v>6.59</c:v>
                </c:pt>
                <c:pt idx="3">
                  <c:v>6.60</c:v>
                </c:pt>
                <c:pt idx="4">
                  <c:v>6.61</c:v>
                </c:pt>
                <c:pt idx="5">
                  <c:v>6.62</c:v>
                </c:pt>
                <c:pt idx="6">
                  <c:v>6.63</c:v>
                </c:pt>
                <c:pt idx="7">
                  <c:v>6.64</c:v>
                </c:pt>
                <c:pt idx="8">
                  <c:v>6.65</c:v>
                </c:pt>
                <c:pt idx="9">
                  <c:v>6.66</c:v>
                </c:pt>
                <c:pt idx="10">
                  <c:v>6.67</c:v>
                </c:pt>
                <c:pt idx="11">
                  <c:v>6.68</c:v>
                </c:pt>
                <c:pt idx="12">
                  <c:v>6.69</c:v>
                </c:pt>
                <c:pt idx="13">
                  <c:v>6.70</c:v>
                </c:pt>
                <c:pt idx="14">
                  <c:v>6.71</c:v>
                </c:pt>
                <c:pt idx="15">
                  <c:v>6.72</c:v>
                </c:pt>
                <c:pt idx="16">
                  <c:v>6.73</c:v>
                </c:pt>
                <c:pt idx="17">
                  <c:v>6.74</c:v>
                </c:pt>
                <c:pt idx="18">
                  <c:v>6.75</c:v>
                </c:pt>
                <c:pt idx="19">
                  <c:v>More</c:v>
                </c:pt>
              </c:strCache>
            </c:strRef>
          </c:cat>
          <c:val>
            <c:numRef>
              <c:f>Ks!$D$28:$D$47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102658432"/>
        <c:axId val="102660352"/>
      </c:barChart>
      <c:catAx>
        <c:axId val="102658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</c:title>
        <c:tickLblPos val="nextTo"/>
        <c:crossAx val="102660352"/>
        <c:crosses val="autoZero"/>
        <c:auto val="1"/>
        <c:lblAlgn val="ctr"/>
        <c:lblOffset val="100"/>
      </c:catAx>
      <c:valAx>
        <c:axId val="10266035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02658432"/>
        <c:crosses val="autoZero"/>
        <c:crossBetween val="between"/>
      </c:valAx>
    </c:plotArea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Slat</a:t>
            </a:r>
            <a:r>
              <a:rPr lang="en-US" baseline="0"/>
              <a:t> Widths</a:t>
            </a:r>
            <a:endParaRPr lang="en-US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'Aggregate Data'!$J$10:$J$32</c:f>
              <c:strCache>
                <c:ptCount val="23"/>
                <c:pt idx="0">
                  <c:v>25</c:v>
                </c:pt>
                <c:pt idx="1">
                  <c:v>25.2</c:v>
                </c:pt>
                <c:pt idx="2">
                  <c:v>25.4</c:v>
                </c:pt>
                <c:pt idx="3">
                  <c:v>25.6</c:v>
                </c:pt>
                <c:pt idx="4">
                  <c:v>25.8</c:v>
                </c:pt>
                <c:pt idx="5">
                  <c:v>26</c:v>
                </c:pt>
                <c:pt idx="6">
                  <c:v>26.2</c:v>
                </c:pt>
                <c:pt idx="7">
                  <c:v>26.4</c:v>
                </c:pt>
                <c:pt idx="8">
                  <c:v>26.6</c:v>
                </c:pt>
                <c:pt idx="9">
                  <c:v>26.8</c:v>
                </c:pt>
                <c:pt idx="10">
                  <c:v>27</c:v>
                </c:pt>
                <c:pt idx="11">
                  <c:v>27.2</c:v>
                </c:pt>
                <c:pt idx="12">
                  <c:v>27.4</c:v>
                </c:pt>
                <c:pt idx="13">
                  <c:v>27.6</c:v>
                </c:pt>
                <c:pt idx="14">
                  <c:v>27.8</c:v>
                </c:pt>
                <c:pt idx="15">
                  <c:v>28</c:v>
                </c:pt>
                <c:pt idx="16">
                  <c:v>28.2</c:v>
                </c:pt>
                <c:pt idx="17">
                  <c:v>28.4</c:v>
                </c:pt>
                <c:pt idx="18">
                  <c:v>28.6</c:v>
                </c:pt>
                <c:pt idx="19">
                  <c:v>28.8</c:v>
                </c:pt>
                <c:pt idx="20">
                  <c:v>29</c:v>
                </c:pt>
                <c:pt idx="21">
                  <c:v>29.2</c:v>
                </c:pt>
                <c:pt idx="22">
                  <c:v>More</c:v>
                </c:pt>
              </c:strCache>
            </c:strRef>
          </c:cat>
          <c:val>
            <c:numRef>
              <c:f>'Aggregate Data'!$K$10:$K$32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56</c:v>
                </c:pt>
                <c:pt idx="5">
                  <c:v>99</c:v>
                </c:pt>
                <c:pt idx="6">
                  <c:v>345</c:v>
                </c:pt>
                <c:pt idx="7">
                  <c:v>414</c:v>
                </c:pt>
                <c:pt idx="8">
                  <c:v>79</c:v>
                </c:pt>
                <c:pt idx="9">
                  <c:v>8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axId val="102787328"/>
        <c:axId val="102805888"/>
      </c:barChart>
      <c:catAx>
        <c:axId val="102787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Width</a:t>
                </a:r>
                <a:r>
                  <a:rPr lang="en-US" baseline="0"/>
                  <a:t> (mm)</a:t>
                </a:r>
                <a:endParaRPr lang="en-US"/>
              </a:p>
            </c:rich>
          </c:tx>
        </c:title>
        <c:tickLblPos val="nextTo"/>
        <c:crossAx val="102805888"/>
        <c:crosses val="autoZero"/>
        <c:auto val="1"/>
        <c:lblAlgn val="ctr"/>
        <c:lblOffset val="100"/>
      </c:catAx>
      <c:valAx>
        <c:axId val="10280588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02787328"/>
        <c:crosses val="autoZero"/>
        <c:crossBetween val="between"/>
      </c:valAx>
    </c:plotArea>
    <c:plotVisOnly val="1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Long</a:t>
            </a:r>
            <a:r>
              <a:rPr lang="en-US" baseline="0"/>
              <a:t> </a:t>
            </a:r>
            <a:r>
              <a:rPr lang="en-US"/>
              <a:t>Slat</a:t>
            </a:r>
            <a:r>
              <a:rPr lang="en-US" baseline="0"/>
              <a:t> Lengths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4818628185055774"/>
          <c:y val="4.1391037634686934E-2"/>
          <c:w val="0.69813150534479473"/>
          <c:h val="0.72876873284610078"/>
        </c:manualLayout>
      </c:layout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'Aggregate Data'!$AJ$10:$AJ$18</c:f>
              <c:strCache>
                <c:ptCount val="9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More</c:v>
                </c:pt>
              </c:strCache>
            </c:strRef>
          </c:cat>
          <c:val>
            <c:numRef>
              <c:f>'Aggregate Data'!$AK$10:$AK$18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</c:v>
                </c:pt>
                <c:pt idx="4">
                  <c:v>764</c:v>
                </c:pt>
                <c:pt idx="5">
                  <c:v>21</c:v>
                </c:pt>
                <c:pt idx="6">
                  <c:v>18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102821248"/>
        <c:axId val="102827136"/>
      </c:barChart>
      <c:catAx>
        <c:axId val="102821248"/>
        <c:scaling>
          <c:orientation val="minMax"/>
        </c:scaling>
        <c:axPos val="b"/>
        <c:tickLblPos val="nextTo"/>
        <c:crossAx val="102827136"/>
        <c:crosses val="autoZero"/>
        <c:auto val="1"/>
        <c:lblAlgn val="ctr"/>
        <c:lblOffset val="100"/>
      </c:catAx>
      <c:valAx>
        <c:axId val="10282713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02821248"/>
        <c:crosses val="autoZero"/>
        <c:crossBetween val="between"/>
      </c:valAx>
    </c:plotArea>
    <c:plotVisOnly val="1"/>
  </c:chart>
  <c:printSettings>
    <c:headerFooter/>
    <c:pageMargins b="0.75000000000000444" l="0.70000000000000062" r="0.70000000000000062" t="0.75000000000000444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</a:t>
            </a:r>
            <a:r>
              <a:rPr lang="en-US" baseline="0"/>
              <a:t> Slats: Thickness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As!$C$55:$C$61</c:f>
              <c:strCache>
                <c:ptCount val="7"/>
                <c:pt idx="0">
                  <c:v>0.35</c:v>
                </c:pt>
                <c:pt idx="1">
                  <c:v>0.36</c:v>
                </c:pt>
                <c:pt idx="2">
                  <c:v>0.37</c:v>
                </c:pt>
                <c:pt idx="3">
                  <c:v>0.38</c:v>
                </c:pt>
                <c:pt idx="4">
                  <c:v>0.39</c:v>
                </c:pt>
                <c:pt idx="5">
                  <c:v>0.4</c:v>
                </c:pt>
                <c:pt idx="6">
                  <c:v>More</c:v>
                </c:pt>
              </c:strCache>
            </c:strRef>
          </c:cat>
          <c:val>
            <c:numRef>
              <c:f>As!$D$55:$D$61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35</c:v>
                </c:pt>
                <c:pt idx="4">
                  <c:v>48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axId val="76171136"/>
        <c:axId val="76173312"/>
      </c:barChart>
      <c:catAx>
        <c:axId val="76171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</a:p>
            </c:rich>
          </c:tx>
          <c:layout/>
        </c:title>
        <c:tickLblPos val="nextTo"/>
        <c:crossAx val="76173312"/>
        <c:crosses val="autoZero"/>
        <c:auto val="1"/>
        <c:lblAlgn val="ctr"/>
        <c:lblOffset val="100"/>
      </c:catAx>
      <c:valAx>
        <c:axId val="7617331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76171136"/>
        <c:crosses val="autoZero"/>
        <c:crossBetween val="between"/>
      </c:valAx>
    </c:plotArea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Short</a:t>
            </a:r>
            <a:r>
              <a:rPr lang="en-US" baseline="0"/>
              <a:t> Slat Lengths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'Aggregate Data'!$BH$10:$BH$16</c:f>
              <c:strCache>
                <c:ptCount val="7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More</c:v>
                </c:pt>
              </c:strCache>
            </c:strRef>
          </c:cat>
          <c:val>
            <c:numRef>
              <c:f>'Aggregate Data'!$BI$10:$BI$16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147</c:v>
                </c:pt>
                <c:pt idx="3">
                  <c:v>89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axId val="102863616"/>
        <c:axId val="102865536"/>
      </c:barChart>
      <c:catAx>
        <c:axId val="102863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Lengths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</c:title>
        <c:tickLblPos val="nextTo"/>
        <c:crossAx val="102865536"/>
        <c:crosses val="autoZero"/>
        <c:auto val="1"/>
        <c:lblAlgn val="ctr"/>
        <c:lblOffset val="100"/>
      </c:catAx>
      <c:valAx>
        <c:axId val="10286553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02863616"/>
        <c:crosses val="autoZero"/>
        <c:crossBetween val="between"/>
      </c:valAx>
    </c:plotArea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</a:t>
            </a:r>
            <a:r>
              <a:rPr lang="en-US" baseline="0"/>
              <a:t> Slats: Thickness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As!$C$55:$C$61</c:f>
              <c:strCache>
                <c:ptCount val="7"/>
                <c:pt idx="0">
                  <c:v>0.35</c:v>
                </c:pt>
                <c:pt idx="1">
                  <c:v>0.36</c:v>
                </c:pt>
                <c:pt idx="2">
                  <c:v>0.37</c:v>
                </c:pt>
                <c:pt idx="3">
                  <c:v>0.38</c:v>
                </c:pt>
                <c:pt idx="4">
                  <c:v>0.39</c:v>
                </c:pt>
                <c:pt idx="5">
                  <c:v>0.4</c:v>
                </c:pt>
                <c:pt idx="6">
                  <c:v>More</c:v>
                </c:pt>
              </c:strCache>
            </c:strRef>
          </c:cat>
          <c:val>
            <c:numRef>
              <c:f>As!$D$55:$D$61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35</c:v>
                </c:pt>
                <c:pt idx="4">
                  <c:v>48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axId val="103418496"/>
        <c:axId val="103428864"/>
      </c:barChart>
      <c:catAx>
        <c:axId val="103418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</a:p>
            </c:rich>
          </c:tx>
          <c:layout/>
        </c:title>
        <c:tickLblPos val="nextTo"/>
        <c:crossAx val="103428864"/>
        <c:crosses val="autoZero"/>
        <c:auto val="1"/>
        <c:lblAlgn val="ctr"/>
        <c:lblOffset val="100"/>
      </c:catAx>
      <c:valAx>
        <c:axId val="10342886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03418496"/>
        <c:crosses val="autoZero"/>
        <c:crossBetween val="between"/>
      </c:valAx>
    </c:plotArea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Es Slats:</a:t>
            </a:r>
            <a:r>
              <a:rPr lang="en-US" baseline="0"/>
              <a:t> Thickness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Es!$C$43:$C$54</c:f>
              <c:strCache>
                <c:ptCount val="12"/>
                <c:pt idx="0">
                  <c:v>0.84</c:v>
                </c:pt>
                <c:pt idx="1">
                  <c:v>0.85</c:v>
                </c:pt>
                <c:pt idx="2">
                  <c:v>0.86</c:v>
                </c:pt>
                <c:pt idx="3">
                  <c:v>0.87</c:v>
                </c:pt>
                <c:pt idx="4">
                  <c:v>0.88</c:v>
                </c:pt>
                <c:pt idx="5">
                  <c:v>0.89</c:v>
                </c:pt>
                <c:pt idx="6">
                  <c:v>0.9</c:v>
                </c:pt>
                <c:pt idx="7">
                  <c:v>0.91</c:v>
                </c:pt>
                <c:pt idx="8">
                  <c:v>0.92</c:v>
                </c:pt>
                <c:pt idx="9">
                  <c:v>0.93</c:v>
                </c:pt>
                <c:pt idx="10">
                  <c:v>0.94</c:v>
                </c:pt>
                <c:pt idx="11">
                  <c:v>More</c:v>
                </c:pt>
              </c:strCache>
            </c:strRef>
          </c:cat>
          <c:val>
            <c:numRef>
              <c:f>Es!$D$43:$D$54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11</c:v>
                </c:pt>
                <c:pt idx="4">
                  <c:v>27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axId val="103448960"/>
        <c:axId val="103450880"/>
      </c:barChart>
      <c:catAx>
        <c:axId val="103448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</c:title>
        <c:tickLblPos val="nextTo"/>
        <c:crossAx val="103450880"/>
        <c:crosses val="autoZero"/>
        <c:auto val="1"/>
        <c:lblAlgn val="ctr"/>
        <c:lblOffset val="100"/>
      </c:catAx>
      <c:valAx>
        <c:axId val="10345088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03448960"/>
        <c:crosses val="autoZero"/>
        <c:crossBetween val="between"/>
      </c:valAx>
    </c:plotArea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</a:t>
            </a:r>
            <a:r>
              <a:rPr lang="en-US" baseline="0"/>
              <a:t> Slats: Thickness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A!$C$81:$C$87</c:f>
              <c:strCache>
                <c:ptCount val="7"/>
                <c:pt idx="0">
                  <c:v>0.35</c:v>
                </c:pt>
                <c:pt idx="1">
                  <c:v>0.36</c:v>
                </c:pt>
                <c:pt idx="2">
                  <c:v>0.37</c:v>
                </c:pt>
                <c:pt idx="3">
                  <c:v>0.38</c:v>
                </c:pt>
                <c:pt idx="4">
                  <c:v>0.39</c:v>
                </c:pt>
                <c:pt idx="5">
                  <c:v>0.4</c:v>
                </c:pt>
                <c:pt idx="6">
                  <c:v>More</c:v>
                </c:pt>
              </c:strCache>
            </c:strRef>
          </c:cat>
          <c:val>
            <c:numRef>
              <c:f>A!$D$81:$D$87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19</c:v>
                </c:pt>
                <c:pt idx="3">
                  <c:v>122</c:v>
                </c:pt>
                <c:pt idx="4">
                  <c:v>123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</c:ser>
        <c:axId val="103491456"/>
        <c:axId val="103534592"/>
      </c:barChart>
      <c:catAx>
        <c:axId val="103491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</c:title>
        <c:tickLblPos val="nextTo"/>
        <c:crossAx val="103534592"/>
        <c:crosses val="autoZero"/>
        <c:auto val="1"/>
        <c:lblAlgn val="ctr"/>
        <c:lblOffset val="100"/>
      </c:catAx>
      <c:valAx>
        <c:axId val="10353459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03491456"/>
        <c:crosses val="autoZero"/>
        <c:crossBetween val="between"/>
      </c:valAx>
    </c:plotArea>
    <c:plotVisOnly val="1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</a:t>
            </a:r>
            <a:r>
              <a:rPr lang="en-US" baseline="0"/>
              <a:t> Slats: Thickness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B!$C$181:$C$191</c:f>
              <c:strCache>
                <c:ptCount val="11"/>
                <c:pt idx="0">
                  <c:v>0.46</c:v>
                </c:pt>
                <c:pt idx="1">
                  <c:v>0.47</c:v>
                </c:pt>
                <c:pt idx="2">
                  <c:v>0.48</c:v>
                </c:pt>
                <c:pt idx="3">
                  <c:v>0.49</c:v>
                </c:pt>
                <c:pt idx="4">
                  <c:v>0.5</c:v>
                </c:pt>
                <c:pt idx="5">
                  <c:v>0.51</c:v>
                </c:pt>
                <c:pt idx="6">
                  <c:v>0.52</c:v>
                </c:pt>
                <c:pt idx="7">
                  <c:v>0.53</c:v>
                </c:pt>
                <c:pt idx="8">
                  <c:v>0.54</c:v>
                </c:pt>
                <c:pt idx="9">
                  <c:v>0.55</c:v>
                </c:pt>
                <c:pt idx="10">
                  <c:v>More</c:v>
                </c:pt>
              </c:strCache>
            </c:strRef>
          </c:cat>
          <c:val>
            <c:numRef>
              <c:f>B!$D$181:$D$191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30</c:v>
                </c:pt>
                <c:pt idx="3">
                  <c:v>152</c:v>
                </c:pt>
                <c:pt idx="4">
                  <c:v>348</c:v>
                </c:pt>
                <c:pt idx="5">
                  <c:v>223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axId val="103600512"/>
        <c:axId val="103602432"/>
      </c:barChart>
      <c:catAx>
        <c:axId val="103600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</c:title>
        <c:tickLblPos val="nextTo"/>
        <c:crossAx val="103602432"/>
        <c:crosses val="autoZero"/>
        <c:auto val="1"/>
        <c:lblAlgn val="ctr"/>
        <c:lblOffset val="100"/>
      </c:catAx>
      <c:valAx>
        <c:axId val="10360243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03600512"/>
        <c:crosses val="autoZero"/>
        <c:crossBetween val="between"/>
      </c:valAx>
    </c:plotArea>
    <c:plotVisOnly val="1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Bs Slats: Thickness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Bs!$D$63:$D$73</c:f>
              <c:strCache>
                <c:ptCount val="11"/>
                <c:pt idx="0">
                  <c:v>0.46</c:v>
                </c:pt>
                <c:pt idx="1">
                  <c:v>0.47</c:v>
                </c:pt>
                <c:pt idx="2">
                  <c:v>0.48</c:v>
                </c:pt>
                <c:pt idx="3">
                  <c:v>0.49</c:v>
                </c:pt>
                <c:pt idx="4">
                  <c:v>0.5</c:v>
                </c:pt>
                <c:pt idx="5">
                  <c:v>0.51</c:v>
                </c:pt>
                <c:pt idx="6">
                  <c:v>0.52</c:v>
                </c:pt>
                <c:pt idx="7">
                  <c:v>0.53</c:v>
                </c:pt>
                <c:pt idx="8">
                  <c:v>0.54</c:v>
                </c:pt>
                <c:pt idx="9">
                  <c:v>0.55</c:v>
                </c:pt>
                <c:pt idx="10">
                  <c:v>More</c:v>
                </c:pt>
              </c:strCache>
            </c:strRef>
          </c:cat>
          <c:val>
            <c:numRef>
              <c:f>Bs!$E$63:$E$73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26</c:v>
                </c:pt>
                <c:pt idx="5">
                  <c:v>64</c:v>
                </c:pt>
                <c:pt idx="6">
                  <c:v>52</c:v>
                </c:pt>
                <c:pt idx="7">
                  <c:v>34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axId val="104896000"/>
        <c:axId val="104897920"/>
      </c:barChart>
      <c:catAx>
        <c:axId val="104896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</a:t>
                </a:r>
                <a:r>
                  <a:rPr lang="en-US" baseline="0"/>
                  <a:t>s (mm)</a:t>
                </a:r>
                <a:endParaRPr lang="en-US"/>
              </a:p>
            </c:rich>
          </c:tx>
          <c:layout/>
        </c:title>
        <c:tickLblPos val="nextTo"/>
        <c:crossAx val="104897920"/>
        <c:crosses val="autoZero"/>
        <c:auto val="1"/>
        <c:lblAlgn val="ctr"/>
        <c:lblOffset val="100"/>
      </c:catAx>
      <c:valAx>
        <c:axId val="10489792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04896000"/>
        <c:crosses val="autoZero"/>
        <c:crossBetween val="between"/>
      </c:valAx>
    </c:plotArea>
    <c:plotVisOnly val="1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</a:t>
            </a:r>
            <a:r>
              <a:rPr lang="en-US" baseline="0"/>
              <a:t> Slats: Thickness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'C'!$C$56:$C$66</c:f>
              <c:strCache>
                <c:ptCount val="11"/>
                <c:pt idx="0">
                  <c:v>0.59</c:v>
                </c:pt>
                <c:pt idx="1">
                  <c:v>0.6</c:v>
                </c:pt>
                <c:pt idx="2">
                  <c:v>0.61</c:v>
                </c:pt>
                <c:pt idx="3">
                  <c:v>0.62</c:v>
                </c:pt>
                <c:pt idx="4">
                  <c:v>0.63</c:v>
                </c:pt>
                <c:pt idx="5">
                  <c:v>0.64</c:v>
                </c:pt>
                <c:pt idx="6">
                  <c:v>0.65</c:v>
                </c:pt>
                <c:pt idx="7">
                  <c:v>0.66</c:v>
                </c:pt>
                <c:pt idx="8">
                  <c:v>0.67</c:v>
                </c:pt>
                <c:pt idx="9">
                  <c:v>0.68</c:v>
                </c:pt>
                <c:pt idx="10">
                  <c:v>More</c:v>
                </c:pt>
              </c:strCache>
            </c:strRef>
          </c:cat>
          <c:val>
            <c:numRef>
              <c:f>'C'!$D$56:$D$66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28</c:v>
                </c:pt>
                <c:pt idx="4">
                  <c:v>89</c:v>
                </c:pt>
                <c:pt idx="5">
                  <c:v>47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axId val="104918016"/>
        <c:axId val="104936576"/>
      </c:barChart>
      <c:catAx>
        <c:axId val="104918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</c:title>
        <c:tickLblPos val="nextTo"/>
        <c:crossAx val="104936576"/>
        <c:crosses val="autoZero"/>
        <c:auto val="1"/>
        <c:lblAlgn val="ctr"/>
        <c:lblOffset val="100"/>
      </c:catAx>
      <c:valAx>
        <c:axId val="1049365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04918016"/>
        <c:crosses val="autoZero"/>
        <c:crossBetween val="between"/>
      </c:valAx>
    </c:plotArea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</a:t>
            </a:r>
            <a:r>
              <a:rPr lang="en-US" baseline="0"/>
              <a:t> Slats: Thickness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D!$C$68:$C$78</c:f>
              <c:strCache>
                <c:ptCount val="11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More</c:v>
                </c:pt>
              </c:strCache>
            </c:strRef>
          </c:cat>
          <c:val>
            <c:numRef>
              <c:f>D!$D$68:$D$78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16</c:v>
                </c:pt>
                <c:pt idx="3">
                  <c:v>34</c:v>
                </c:pt>
                <c:pt idx="4">
                  <c:v>49</c:v>
                </c:pt>
                <c:pt idx="5">
                  <c:v>59</c:v>
                </c:pt>
                <c:pt idx="6">
                  <c:v>63</c:v>
                </c:pt>
                <c:pt idx="7">
                  <c:v>20</c:v>
                </c:pt>
                <c:pt idx="8">
                  <c:v>7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axId val="104985344"/>
        <c:axId val="104987264"/>
      </c:barChart>
      <c:catAx>
        <c:axId val="104985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</c:title>
        <c:tickLblPos val="nextTo"/>
        <c:crossAx val="104987264"/>
        <c:crosses val="autoZero"/>
        <c:auto val="1"/>
        <c:lblAlgn val="ctr"/>
        <c:lblOffset val="100"/>
      </c:catAx>
      <c:valAx>
        <c:axId val="10498726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04985344"/>
        <c:crosses val="autoZero"/>
        <c:crossBetween val="between"/>
      </c:valAx>
    </c:plotArea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</a:t>
            </a:r>
            <a:r>
              <a:rPr lang="en-US" baseline="0"/>
              <a:t> Slats: Thickness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E!$C$63:$C$74</c:f>
              <c:strCache>
                <c:ptCount val="12"/>
                <c:pt idx="0">
                  <c:v>0.84</c:v>
                </c:pt>
                <c:pt idx="1">
                  <c:v>0.85</c:v>
                </c:pt>
                <c:pt idx="2">
                  <c:v>0.86</c:v>
                </c:pt>
                <c:pt idx="3">
                  <c:v>0.87</c:v>
                </c:pt>
                <c:pt idx="4">
                  <c:v>0.88</c:v>
                </c:pt>
                <c:pt idx="5">
                  <c:v>0.89</c:v>
                </c:pt>
                <c:pt idx="6">
                  <c:v>0.9</c:v>
                </c:pt>
                <c:pt idx="7">
                  <c:v>0.91</c:v>
                </c:pt>
                <c:pt idx="8">
                  <c:v>0.92</c:v>
                </c:pt>
                <c:pt idx="9">
                  <c:v>0.93</c:v>
                </c:pt>
                <c:pt idx="10">
                  <c:v>0.94</c:v>
                </c:pt>
                <c:pt idx="11">
                  <c:v>More</c:v>
                </c:pt>
              </c:strCache>
            </c:strRef>
          </c:cat>
          <c:val>
            <c:numRef>
              <c:f>E!$D$63:$D$74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14</c:v>
                </c:pt>
                <c:pt idx="4">
                  <c:v>43</c:v>
                </c:pt>
                <c:pt idx="5">
                  <c:v>62</c:v>
                </c:pt>
                <c:pt idx="6">
                  <c:v>38</c:v>
                </c:pt>
                <c:pt idx="7">
                  <c:v>40</c:v>
                </c:pt>
                <c:pt idx="8">
                  <c:v>11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axId val="114583808"/>
        <c:axId val="114590080"/>
      </c:barChart>
      <c:catAx>
        <c:axId val="114583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</c:title>
        <c:tickLblPos val="nextTo"/>
        <c:crossAx val="114590080"/>
        <c:crosses val="autoZero"/>
        <c:auto val="1"/>
        <c:lblAlgn val="ctr"/>
        <c:lblOffset val="100"/>
      </c:catAx>
      <c:valAx>
        <c:axId val="11459008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14583808"/>
        <c:crosses val="autoZero"/>
        <c:crossBetween val="between"/>
      </c:valAx>
    </c:plotArea>
    <c:plotVisOnly val="1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Fs</a:t>
            </a:r>
            <a:r>
              <a:rPr lang="en-US" baseline="0"/>
              <a:t> Slats: Thickness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Fs!$C$45:$C$61</c:f>
              <c:strCache>
                <c:ptCount val="17"/>
                <c:pt idx="0">
                  <c:v>0.94</c:v>
                </c:pt>
                <c:pt idx="1">
                  <c:v>0.95</c:v>
                </c:pt>
                <c:pt idx="2">
                  <c:v>0.96</c:v>
                </c:pt>
                <c:pt idx="3">
                  <c:v>0.97</c:v>
                </c:pt>
                <c:pt idx="4">
                  <c:v>0.98</c:v>
                </c:pt>
                <c:pt idx="5">
                  <c:v>0.99</c:v>
                </c:pt>
                <c:pt idx="6">
                  <c:v>1</c:v>
                </c:pt>
                <c:pt idx="7">
                  <c:v>1.01</c:v>
                </c:pt>
                <c:pt idx="8">
                  <c:v>1.02</c:v>
                </c:pt>
                <c:pt idx="9">
                  <c:v>1.03</c:v>
                </c:pt>
                <c:pt idx="10">
                  <c:v>1.04</c:v>
                </c:pt>
                <c:pt idx="11">
                  <c:v>1.05</c:v>
                </c:pt>
                <c:pt idx="12">
                  <c:v>1.06</c:v>
                </c:pt>
                <c:pt idx="13">
                  <c:v>1.07</c:v>
                </c:pt>
                <c:pt idx="14">
                  <c:v>1.08</c:v>
                </c:pt>
                <c:pt idx="15">
                  <c:v>1.09</c:v>
                </c:pt>
                <c:pt idx="16">
                  <c:v>More</c:v>
                </c:pt>
              </c:strCache>
            </c:strRef>
          </c:cat>
          <c:val>
            <c:numRef>
              <c:f>Fs!$D$45:$D$61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15</c:v>
                </c:pt>
                <c:pt idx="8">
                  <c:v>29</c:v>
                </c:pt>
                <c:pt idx="9">
                  <c:v>10</c:v>
                </c:pt>
                <c:pt idx="10">
                  <c:v>7</c:v>
                </c:pt>
                <c:pt idx="11">
                  <c:v>10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axId val="118452608"/>
        <c:axId val="118454528"/>
      </c:barChart>
      <c:catAx>
        <c:axId val="118452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</c:title>
        <c:tickLblPos val="nextTo"/>
        <c:crossAx val="118454528"/>
        <c:crosses val="autoZero"/>
        <c:auto val="1"/>
        <c:lblAlgn val="ctr"/>
        <c:lblOffset val="100"/>
      </c:catAx>
      <c:valAx>
        <c:axId val="11845452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18452608"/>
        <c:crosses val="autoZero"/>
        <c:crossBetween val="between"/>
      </c:valAx>
    </c:plotArea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</a:t>
            </a:r>
            <a:r>
              <a:rPr lang="en-US" baseline="0"/>
              <a:t> Slats: Thickness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B!$C$181:$C$191</c:f>
              <c:strCache>
                <c:ptCount val="11"/>
                <c:pt idx="0">
                  <c:v>0.46</c:v>
                </c:pt>
                <c:pt idx="1">
                  <c:v>0.47</c:v>
                </c:pt>
                <c:pt idx="2">
                  <c:v>0.48</c:v>
                </c:pt>
                <c:pt idx="3">
                  <c:v>0.49</c:v>
                </c:pt>
                <c:pt idx="4">
                  <c:v>0.5</c:v>
                </c:pt>
                <c:pt idx="5">
                  <c:v>0.51</c:v>
                </c:pt>
                <c:pt idx="6">
                  <c:v>0.52</c:v>
                </c:pt>
                <c:pt idx="7">
                  <c:v>0.53</c:v>
                </c:pt>
                <c:pt idx="8">
                  <c:v>0.54</c:v>
                </c:pt>
                <c:pt idx="9">
                  <c:v>0.55</c:v>
                </c:pt>
                <c:pt idx="10">
                  <c:v>More</c:v>
                </c:pt>
              </c:strCache>
            </c:strRef>
          </c:cat>
          <c:val>
            <c:numRef>
              <c:f>B!$D$181:$D$191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30</c:v>
                </c:pt>
                <c:pt idx="3">
                  <c:v>152</c:v>
                </c:pt>
                <c:pt idx="4">
                  <c:v>348</c:v>
                </c:pt>
                <c:pt idx="5">
                  <c:v>223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axId val="77299712"/>
        <c:axId val="77301632"/>
      </c:barChart>
      <c:catAx>
        <c:axId val="77299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</c:title>
        <c:tickLblPos val="nextTo"/>
        <c:crossAx val="77301632"/>
        <c:crosses val="autoZero"/>
        <c:auto val="1"/>
        <c:lblAlgn val="ctr"/>
        <c:lblOffset val="100"/>
      </c:catAx>
      <c:valAx>
        <c:axId val="7730163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77299712"/>
        <c:crosses val="autoZero"/>
        <c:crossBetween val="between"/>
      </c:valAx>
    </c:plotArea>
    <c:plotVisOnly val="1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</a:t>
            </a:r>
            <a:r>
              <a:rPr lang="en-US" baseline="0"/>
              <a:t> Slats: Thickness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F!$C$51:$C$67</c:f>
              <c:strCache>
                <c:ptCount val="17"/>
                <c:pt idx="0">
                  <c:v>0.94</c:v>
                </c:pt>
                <c:pt idx="1">
                  <c:v>0.95</c:v>
                </c:pt>
                <c:pt idx="2">
                  <c:v>0.96</c:v>
                </c:pt>
                <c:pt idx="3">
                  <c:v>0.97</c:v>
                </c:pt>
                <c:pt idx="4">
                  <c:v>0.98</c:v>
                </c:pt>
                <c:pt idx="5">
                  <c:v>0.99</c:v>
                </c:pt>
                <c:pt idx="6">
                  <c:v>1</c:v>
                </c:pt>
                <c:pt idx="7">
                  <c:v>1.01</c:v>
                </c:pt>
                <c:pt idx="8">
                  <c:v>1.02</c:v>
                </c:pt>
                <c:pt idx="9">
                  <c:v>1.03</c:v>
                </c:pt>
                <c:pt idx="10">
                  <c:v>1.04</c:v>
                </c:pt>
                <c:pt idx="11">
                  <c:v>1.05</c:v>
                </c:pt>
                <c:pt idx="12">
                  <c:v>1.06</c:v>
                </c:pt>
                <c:pt idx="13">
                  <c:v>1.07</c:v>
                </c:pt>
                <c:pt idx="14">
                  <c:v>1.08</c:v>
                </c:pt>
                <c:pt idx="15">
                  <c:v>1.09</c:v>
                </c:pt>
                <c:pt idx="16">
                  <c:v>More</c:v>
                </c:pt>
              </c:strCache>
            </c:strRef>
          </c:cat>
          <c:val>
            <c:numRef>
              <c:f>F!$D$51:$D$67</c:f>
              <c:numCache>
                <c:formatCode>General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15</c:v>
                </c:pt>
                <c:pt idx="7">
                  <c:v>13</c:v>
                </c:pt>
                <c:pt idx="8">
                  <c:v>16</c:v>
                </c:pt>
                <c:pt idx="9">
                  <c:v>44</c:v>
                </c:pt>
                <c:pt idx="10">
                  <c:v>27</c:v>
                </c:pt>
                <c:pt idx="11">
                  <c:v>12</c:v>
                </c:pt>
                <c:pt idx="12">
                  <c:v>5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axId val="118503680"/>
        <c:axId val="118514048"/>
      </c:barChart>
      <c:catAx>
        <c:axId val="118503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</c:title>
        <c:tickLblPos val="nextTo"/>
        <c:crossAx val="118514048"/>
        <c:crosses val="autoZero"/>
        <c:auto val="1"/>
        <c:lblAlgn val="ctr"/>
        <c:lblOffset val="100"/>
      </c:catAx>
      <c:valAx>
        <c:axId val="11851404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18503680"/>
        <c:crosses val="autoZero"/>
        <c:crossBetween val="between"/>
      </c:valAx>
    </c:plotArea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Gs</a:t>
            </a:r>
            <a:r>
              <a:rPr lang="en-US" baseline="0"/>
              <a:t> Slats: Thickness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Gs!$C$40:$C$56</c:f>
              <c:strCache>
                <c:ptCount val="17"/>
                <c:pt idx="0">
                  <c:v>1.24</c:v>
                </c:pt>
                <c:pt idx="1">
                  <c:v>1.25</c:v>
                </c:pt>
                <c:pt idx="2">
                  <c:v>1.26</c:v>
                </c:pt>
                <c:pt idx="3">
                  <c:v>1.27</c:v>
                </c:pt>
                <c:pt idx="4">
                  <c:v>1.28</c:v>
                </c:pt>
                <c:pt idx="5">
                  <c:v>1.29</c:v>
                </c:pt>
                <c:pt idx="6">
                  <c:v>1.3</c:v>
                </c:pt>
                <c:pt idx="7">
                  <c:v>1.31</c:v>
                </c:pt>
                <c:pt idx="8">
                  <c:v>1.32</c:v>
                </c:pt>
                <c:pt idx="9">
                  <c:v>1.33</c:v>
                </c:pt>
                <c:pt idx="10">
                  <c:v>1.34</c:v>
                </c:pt>
                <c:pt idx="11">
                  <c:v>1.35</c:v>
                </c:pt>
                <c:pt idx="12">
                  <c:v>1.36</c:v>
                </c:pt>
                <c:pt idx="13">
                  <c:v>1.37</c:v>
                </c:pt>
                <c:pt idx="14">
                  <c:v>1.38</c:v>
                </c:pt>
                <c:pt idx="15">
                  <c:v>1.39</c:v>
                </c:pt>
                <c:pt idx="16">
                  <c:v>More</c:v>
                </c:pt>
              </c:strCache>
            </c:strRef>
          </c:cat>
          <c:val>
            <c:numRef>
              <c:f>Gs!$D$40:$D$56</c:f>
              <c:numCache>
                <c:formatCode>General</c:formatCode>
                <c:ptCount val="17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11</c:v>
                </c:pt>
                <c:pt idx="4">
                  <c:v>17</c:v>
                </c:pt>
                <c:pt idx="5">
                  <c:v>9</c:v>
                </c:pt>
                <c:pt idx="6">
                  <c:v>11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axId val="119742464"/>
        <c:axId val="119744384"/>
      </c:barChart>
      <c:catAx>
        <c:axId val="119742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</c:title>
        <c:tickLblPos val="nextTo"/>
        <c:crossAx val="119744384"/>
        <c:crosses val="autoZero"/>
        <c:auto val="1"/>
        <c:lblAlgn val="ctr"/>
        <c:lblOffset val="100"/>
      </c:catAx>
      <c:valAx>
        <c:axId val="11974438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19742464"/>
        <c:crosses val="autoZero"/>
        <c:crossBetween val="between"/>
      </c:valAx>
    </c:plotArea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</a:t>
            </a:r>
            <a:r>
              <a:rPr lang="en-US" baseline="0"/>
              <a:t> Slats: Thickness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G!$C$47:$C$63</c:f>
              <c:strCache>
                <c:ptCount val="17"/>
                <c:pt idx="0">
                  <c:v>1.24</c:v>
                </c:pt>
                <c:pt idx="1">
                  <c:v>1.25</c:v>
                </c:pt>
                <c:pt idx="2">
                  <c:v>1.26</c:v>
                </c:pt>
                <c:pt idx="3">
                  <c:v>1.27</c:v>
                </c:pt>
                <c:pt idx="4">
                  <c:v>1.28</c:v>
                </c:pt>
                <c:pt idx="5">
                  <c:v>1.29</c:v>
                </c:pt>
                <c:pt idx="6">
                  <c:v>1.3</c:v>
                </c:pt>
                <c:pt idx="7">
                  <c:v>1.31</c:v>
                </c:pt>
                <c:pt idx="8">
                  <c:v>1.32</c:v>
                </c:pt>
                <c:pt idx="9">
                  <c:v>1.33</c:v>
                </c:pt>
                <c:pt idx="10">
                  <c:v>1.34</c:v>
                </c:pt>
                <c:pt idx="11">
                  <c:v>1.35</c:v>
                </c:pt>
                <c:pt idx="12">
                  <c:v>1.36</c:v>
                </c:pt>
                <c:pt idx="13">
                  <c:v>1.37</c:v>
                </c:pt>
                <c:pt idx="14">
                  <c:v>1.38</c:v>
                </c:pt>
                <c:pt idx="15">
                  <c:v>1.39</c:v>
                </c:pt>
                <c:pt idx="16">
                  <c:v>More</c:v>
                </c:pt>
              </c:strCache>
            </c:strRef>
          </c:cat>
          <c:val>
            <c:numRef>
              <c:f>G!$D$47:$D$63</c:f>
              <c:numCache>
                <c:formatCode>General</c:formatCode>
                <c:ptCount val="17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6</c:v>
                </c:pt>
                <c:pt idx="7">
                  <c:v>14</c:v>
                </c:pt>
                <c:pt idx="8">
                  <c:v>19</c:v>
                </c:pt>
                <c:pt idx="9">
                  <c:v>14</c:v>
                </c:pt>
                <c:pt idx="10">
                  <c:v>16</c:v>
                </c:pt>
                <c:pt idx="11">
                  <c:v>14</c:v>
                </c:pt>
                <c:pt idx="12">
                  <c:v>8</c:v>
                </c:pt>
                <c:pt idx="13">
                  <c:v>6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axId val="119760384"/>
        <c:axId val="119762304"/>
      </c:barChart>
      <c:catAx>
        <c:axId val="119760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 (mm)</a:t>
                </a:r>
              </a:p>
            </c:rich>
          </c:tx>
          <c:layout/>
        </c:title>
        <c:tickLblPos val="nextTo"/>
        <c:crossAx val="119762304"/>
        <c:crosses val="autoZero"/>
        <c:auto val="1"/>
        <c:lblAlgn val="ctr"/>
        <c:lblOffset val="100"/>
      </c:catAx>
      <c:valAx>
        <c:axId val="1197623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19760384"/>
        <c:crosses val="autoZero"/>
        <c:crossBetween val="between"/>
      </c:valAx>
    </c:plotArea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</a:t>
            </a:r>
            <a:r>
              <a:rPr lang="en-US" baseline="0"/>
              <a:t> Slats: Thickness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H!$C$42:$C$53</c:f>
              <c:strCache>
                <c:ptCount val="12"/>
                <c:pt idx="0">
                  <c:v>1.48</c:v>
                </c:pt>
                <c:pt idx="1">
                  <c:v>1.49</c:v>
                </c:pt>
                <c:pt idx="2">
                  <c:v>1.5</c:v>
                </c:pt>
                <c:pt idx="3">
                  <c:v>1.51</c:v>
                </c:pt>
                <c:pt idx="4">
                  <c:v>1.52</c:v>
                </c:pt>
                <c:pt idx="5">
                  <c:v>1.53</c:v>
                </c:pt>
                <c:pt idx="6">
                  <c:v>1.54</c:v>
                </c:pt>
                <c:pt idx="7">
                  <c:v>1.55</c:v>
                </c:pt>
                <c:pt idx="8">
                  <c:v>1.56</c:v>
                </c:pt>
                <c:pt idx="9">
                  <c:v>1.57</c:v>
                </c:pt>
                <c:pt idx="10">
                  <c:v>1.58</c:v>
                </c:pt>
                <c:pt idx="11">
                  <c:v>More</c:v>
                </c:pt>
              </c:strCache>
            </c:strRef>
          </c:cat>
          <c:val>
            <c:numRef>
              <c:f>H!$D$42:$D$53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15</c:v>
                </c:pt>
                <c:pt idx="6">
                  <c:v>26</c:v>
                </c:pt>
                <c:pt idx="7">
                  <c:v>22</c:v>
                </c:pt>
                <c:pt idx="8">
                  <c:v>16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axId val="119839744"/>
        <c:axId val="119850112"/>
      </c:barChart>
      <c:catAx>
        <c:axId val="119839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</c:title>
        <c:tickLblPos val="nextTo"/>
        <c:crossAx val="119850112"/>
        <c:crosses val="autoZero"/>
        <c:auto val="1"/>
        <c:lblAlgn val="ctr"/>
        <c:lblOffset val="100"/>
      </c:catAx>
      <c:valAx>
        <c:axId val="11985011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19839744"/>
        <c:crosses val="autoZero"/>
        <c:crossBetween val="between"/>
      </c:valAx>
    </c:plotArea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</a:t>
            </a:r>
            <a:r>
              <a:rPr lang="en-US" baseline="0"/>
              <a:t> Slats: Thickness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I!$C$42:$C$62</c:f>
              <c:strCache>
                <c:ptCount val="21"/>
                <c:pt idx="0">
                  <c:v>1.92</c:v>
                </c:pt>
                <c:pt idx="1">
                  <c:v>1.93</c:v>
                </c:pt>
                <c:pt idx="2">
                  <c:v>1.94</c:v>
                </c:pt>
                <c:pt idx="3">
                  <c:v>1.95</c:v>
                </c:pt>
                <c:pt idx="4">
                  <c:v>1.96</c:v>
                </c:pt>
                <c:pt idx="5">
                  <c:v>1.97</c:v>
                </c:pt>
                <c:pt idx="6">
                  <c:v>1.98</c:v>
                </c:pt>
                <c:pt idx="7">
                  <c:v>1.99</c:v>
                </c:pt>
                <c:pt idx="8">
                  <c:v>2</c:v>
                </c:pt>
                <c:pt idx="9">
                  <c:v>2.01</c:v>
                </c:pt>
                <c:pt idx="10">
                  <c:v>2.02</c:v>
                </c:pt>
                <c:pt idx="11">
                  <c:v>2.03</c:v>
                </c:pt>
                <c:pt idx="12">
                  <c:v>2.04</c:v>
                </c:pt>
                <c:pt idx="13">
                  <c:v>2.05</c:v>
                </c:pt>
                <c:pt idx="14">
                  <c:v>2.06</c:v>
                </c:pt>
                <c:pt idx="15">
                  <c:v>2.07</c:v>
                </c:pt>
                <c:pt idx="16">
                  <c:v>2.08</c:v>
                </c:pt>
                <c:pt idx="17">
                  <c:v>2.09</c:v>
                </c:pt>
                <c:pt idx="18">
                  <c:v>2.1</c:v>
                </c:pt>
                <c:pt idx="19">
                  <c:v>2.11</c:v>
                </c:pt>
                <c:pt idx="20">
                  <c:v>More</c:v>
                </c:pt>
              </c:strCache>
            </c:strRef>
          </c:cat>
          <c:val>
            <c:numRef>
              <c:f>I!$D$42:$D$62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11</c:v>
                </c:pt>
                <c:pt idx="7">
                  <c:v>10</c:v>
                </c:pt>
                <c:pt idx="8">
                  <c:v>17</c:v>
                </c:pt>
                <c:pt idx="9">
                  <c:v>9</c:v>
                </c:pt>
                <c:pt idx="10">
                  <c:v>0</c:v>
                </c:pt>
                <c:pt idx="11">
                  <c:v>2</c:v>
                </c:pt>
                <c:pt idx="12">
                  <c:v>6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</c:ser>
        <c:axId val="119891072"/>
        <c:axId val="119892992"/>
      </c:barChart>
      <c:catAx>
        <c:axId val="119891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</c:title>
        <c:tickLblPos val="nextTo"/>
        <c:crossAx val="119892992"/>
        <c:crosses val="autoZero"/>
        <c:auto val="1"/>
        <c:lblAlgn val="ctr"/>
        <c:lblOffset val="100"/>
      </c:catAx>
      <c:valAx>
        <c:axId val="11989299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19891072"/>
        <c:crosses val="autoZero"/>
        <c:crossBetween val="between"/>
      </c:valAx>
    </c:plotArea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J</a:t>
            </a:r>
            <a:r>
              <a:rPr lang="en-US" baseline="0"/>
              <a:t> Slats: Thickness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J!$C$37:$C$50</c:f>
              <c:strCache>
                <c:ptCount val="14"/>
                <c:pt idx="0">
                  <c:v>3.35</c:v>
                </c:pt>
                <c:pt idx="1">
                  <c:v>3.36</c:v>
                </c:pt>
                <c:pt idx="2">
                  <c:v>3.37</c:v>
                </c:pt>
                <c:pt idx="3">
                  <c:v>3.38</c:v>
                </c:pt>
                <c:pt idx="4">
                  <c:v>3.39</c:v>
                </c:pt>
                <c:pt idx="5">
                  <c:v>3.4</c:v>
                </c:pt>
                <c:pt idx="6">
                  <c:v>3.41</c:v>
                </c:pt>
                <c:pt idx="7">
                  <c:v>3.42</c:v>
                </c:pt>
                <c:pt idx="8">
                  <c:v>3.43</c:v>
                </c:pt>
                <c:pt idx="9">
                  <c:v>3.44</c:v>
                </c:pt>
                <c:pt idx="10">
                  <c:v>3.45</c:v>
                </c:pt>
                <c:pt idx="11">
                  <c:v>3.46</c:v>
                </c:pt>
                <c:pt idx="12">
                  <c:v>3.47</c:v>
                </c:pt>
                <c:pt idx="13">
                  <c:v>More</c:v>
                </c:pt>
              </c:strCache>
            </c:strRef>
          </c:cat>
          <c:val>
            <c:numRef>
              <c:f>J!$D$37:$D$50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8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13</c:v>
                </c:pt>
                <c:pt idx="9">
                  <c:v>12</c:v>
                </c:pt>
                <c:pt idx="10">
                  <c:v>10</c:v>
                </c:pt>
                <c:pt idx="11">
                  <c:v>10</c:v>
                </c:pt>
                <c:pt idx="12">
                  <c:v>6</c:v>
                </c:pt>
                <c:pt idx="13">
                  <c:v>0</c:v>
                </c:pt>
              </c:numCache>
            </c:numRef>
          </c:val>
        </c:ser>
        <c:axId val="120080640"/>
        <c:axId val="120103296"/>
      </c:barChart>
      <c:catAx>
        <c:axId val="120080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</c:title>
        <c:tickLblPos val="nextTo"/>
        <c:crossAx val="120103296"/>
        <c:crosses val="autoZero"/>
        <c:auto val="1"/>
        <c:lblAlgn val="ctr"/>
        <c:lblOffset val="100"/>
      </c:catAx>
      <c:valAx>
        <c:axId val="12010329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20080640"/>
        <c:crosses val="autoZero"/>
        <c:crossBetween val="between"/>
      </c:valAx>
    </c:plotArea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</a:t>
            </a:r>
            <a:r>
              <a:rPr lang="en-US" baseline="0"/>
              <a:t> Slats: Thickness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K!$C$31:$C$50</c:f>
              <c:strCache>
                <c:ptCount val="20"/>
                <c:pt idx="0">
                  <c:v>6.57</c:v>
                </c:pt>
                <c:pt idx="1">
                  <c:v>6.58</c:v>
                </c:pt>
                <c:pt idx="2">
                  <c:v>6.59</c:v>
                </c:pt>
                <c:pt idx="3">
                  <c:v>6.60</c:v>
                </c:pt>
                <c:pt idx="4">
                  <c:v>6.61</c:v>
                </c:pt>
                <c:pt idx="5">
                  <c:v>6.62</c:v>
                </c:pt>
                <c:pt idx="6">
                  <c:v>6.63</c:v>
                </c:pt>
                <c:pt idx="7">
                  <c:v>6.64</c:v>
                </c:pt>
                <c:pt idx="8">
                  <c:v>6.65</c:v>
                </c:pt>
                <c:pt idx="9">
                  <c:v>6.66</c:v>
                </c:pt>
                <c:pt idx="10">
                  <c:v>6.67</c:v>
                </c:pt>
                <c:pt idx="11">
                  <c:v>6.68</c:v>
                </c:pt>
                <c:pt idx="12">
                  <c:v>6.69</c:v>
                </c:pt>
                <c:pt idx="13">
                  <c:v>6.70</c:v>
                </c:pt>
                <c:pt idx="14">
                  <c:v>6.71</c:v>
                </c:pt>
                <c:pt idx="15">
                  <c:v>6.72</c:v>
                </c:pt>
                <c:pt idx="16">
                  <c:v>6.73</c:v>
                </c:pt>
                <c:pt idx="17">
                  <c:v>6.74</c:v>
                </c:pt>
                <c:pt idx="18">
                  <c:v>6.75</c:v>
                </c:pt>
                <c:pt idx="19">
                  <c:v>More</c:v>
                </c:pt>
              </c:strCache>
            </c:strRef>
          </c:cat>
          <c:val>
            <c:numRef>
              <c:f>K!$D$31:$D$50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120168448"/>
        <c:axId val="120170368"/>
      </c:barChart>
      <c:catAx>
        <c:axId val="120168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</c:title>
        <c:tickLblPos val="nextTo"/>
        <c:crossAx val="120170368"/>
        <c:crosses val="autoZero"/>
        <c:auto val="1"/>
        <c:lblAlgn val="ctr"/>
        <c:lblOffset val="100"/>
      </c:catAx>
      <c:valAx>
        <c:axId val="12017036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20168448"/>
        <c:crosses val="autoZero"/>
        <c:crossBetween val="between"/>
      </c:valAx>
    </c:plotArea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</a:t>
            </a:r>
            <a:r>
              <a:rPr lang="en-US" baseline="0"/>
              <a:t>s Slats: Thickness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Ks!$C$28:$C$47</c:f>
              <c:strCache>
                <c:ptCount val="20"/>
                <c:pt idx="0">
                  <c:v>6.57</c:v>
                </c:pt>
                <c:pt idx="1">
                  <c:v>6.58</c:v>
                </c:pt>
                <c:pt idx="2">
                  <c:v>6.59</c:v>
                </c:pt>
                <c:pt idx="3">
                  <c:v>6.60</c:v>
                </c:pt>
                <c:pt idx="4">
                  <c:v>6.61</c:v>
                </c:pt>
                <c:pt idx="5">
                  <c:v>6.62</c:v>
                </c:pt>
                <c:pt idx="6">
                  <c:v>6.63</c:v>
                </c:pt>
                <c:pt idx="7">
                  <c:v>6.64</c:v>
                </c:pt>
                <c:pt idx="8">
                  <c:v>6.65</c:v>
                </c:pt>
                <c:pt idx="9">
                  <c:v>6.66</c:v>
                </c:pt>
                <c:pt idx="10">
                  <c:v>6.67</c:v>
                </c:pt>
                <c:pt idx="11">
                  <c:v>6.68</c:v>
                </c:pt>
                <c:pt idx="12">
                  <c:v>6.69</c:v>
                </c:pt>
                <c:pt idx="13">
                  <c:v>6.70</c:v>
                </c:pt>
                <c:pt idx="14">
                  <c:v>6.71</c:v>
                </c:pt>
                <c:pt idx="15">
                  <c:v>6.72</c:v>
                </c:pt>
                <c:pt idx="16">
                  <c:v>6.73</c:v>
                </c:pt>
                <c:pt idx="17">
                  <c:v>6.74</c:v>
                </c:pt>
                <c:pt idx="18">
                  <c:v>6.75</c:v>
                </c:pt>
                <c:pt idx="19">
                  <c:v>More</c:v>
                </c:pt>
              </c:strCache>
            </c:strRef>
          </c:cat>
          <c:val>
            <c:numRef>
              <c:f>Ks!$D$28:$D$47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120198656"/>
        <c:axId val="120200576"/>
      </c:barChart>
      <c:catAx>
        <c:axId val="120198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</c:title>
        <c:tickLblPos val="nextTo"/>
        <c:crossAx val="120200576"/>
        <c:crosses val="autoZero"/>
        <c:auto val="1"/>
        <c:lblAlgn val="ctr"/>
        <c:lblOffset val="100"/>
      </c:catAx>
      <c:valAx>
        <c:axId val="1202005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20198656"/>
        <c:crosses val="autoZero"/>
        <c:crossBetween val="between"/>
      </c:valAx>
    </c:plotArea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Slat</a:t>
            </a:r>
            <a:r>
              <a:rPr lang="en-US" baseline="0"/>
              <a:t> Widths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'Aggregate Data'!$J$10:$J$32</c:f>
              <c:strCache>
                <c:ptCount val="23"/>
                <c:pt idx="0">
                  <c:v>25</c:v>
                </c:pt>
                <c:pt idx="1">
                  <c:v>25.2</c:v>
                </c:pt>
                <c:pt idx="2">
                  <c:v>25.4</c:v>
                </c:pt>
                <c:pt idx="3">
                  <c:v>25.6</c:v>
                </c:pt>
                <c:pt idx="4">
                  <c:v>25.8</c:v>
                </c:pt>
                <c:pt idx="5">
                  <c:v>26</c:v>
                </c:pt>
                <c:pt idx="6">
                  <c:v>26.2</c:v>
                </c:pt>
                <c:pt idx="7">
                  <c:v>26.4</c:v>
                </c:pt>
                <c:pt idx="8">
                  <c:v>26.6</c:v>
                </c:pt>
                <c:pt idx="9">
                  <c:v>26.8</c:v>
                </c:pt>
                <c:pt idx="10">
                  <c:v>27</c:v>
                </c:pt>
                <c:pt idx="11">
                  <c:v>27.2</c:v>
                </c:pt>
                <c:pt idx="12">
                  <c:v>27.4</c:v>
                </c:pt>
                <c:pt idx="13">
                  <c:v>27.6</c:v>
                </c:pt>
                <c:pt idx="14">
                  <c:v>27.8</c:v>
                </c:pt>
                <c:pt idx="15">
                  <c:v>28</c:v>
                </c:pt>
                <c:pt idx="16">
                  <c:v>28.2</c:v>
                </c:pt>
                <c:pt idx="17">
                  <c:v>28.4</c:v>
                </c:pt>
                <c:pt idx="18">
                  <c:v>28.6</c:v>
                </c:pt>
                <c:pt idx="19">
                  <c:v>28.8</c:v>
                </c:pt>
                <c:pt idx="20">
                  <c:v>29</c:v>
                </c:pt>
                <c:pt idx="21">
                  <c:v>29.2</c:v>
                </c:pt>
                <c:pt idx="22">
                  <c:v>More</c:v>
                </c:pt>
              </c:strCache>
            </c:strRef>
          </c:cat>
          <c:val>
            <c:numRef>
              <c:f>'Aggregate Data'!$K$10:$K$32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56</c:v>
                </c:pt>
                <c:pt idx="5">
                  <c:v>99</c:v>
                </c:pt>
                <c:pt idx="6">
                  <c:v>345</c:v>
                </c:pt>
                <c:pt idx="7">
                  <c:v>414</c:v>
                </c:pt>
                <c:pt idx="8">
                  <c:v>79</c:v>
                </c:pt>
                <c:pt idx="9">
                  <c:v>8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axId val="103618432"/>
        <c:axId val="114950528"/>
      </c:barChart>
      <c:catAx>
        <c:axId val="103618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Width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</c:title>
        <c:tickLblPos val="nextTo"/>
        <c:crossAx val="114950528"/>
        <c:crosses val="autoZero"/>
        <c:auto val="1"/>
        <c:lblAlgn val="ctr"/>
        <c:lblOffset val="100"/>
      </c:catAx>
      <c:valAx>
        <c:axId val="11495052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03618432"/>
        <c:crosses val="autoZero"/>
        <c:crossBetween val="between"/>
      </c:valAx>
    </c:plotArea>
    <c:plotVisOnly val="1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Long</a:t>
            </a:r>
            <a:r>
              <a:rPr lang="en-US" baseline="0"/>
              <a:t> </a:t>
            </a:r>
            <a:r>
              <a:rPr lang="en-US"/>
              <a:t>Slat</a:t>
            </a:r>
            <a:r>
              <a:rPr lang="en-US" baseline="0"/>
              <a:t> Lengths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4818628185055774"/>
          <c:y val="4.1391037634686934E-2"/>
          <c:w val="0.69813150534479473"/>
          <c:h val="0.80297508338201962"/>
        </c:manualLayout>
      </c:layout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'Aggregate Data'!$AJ$10:$AJ$18</c:f>
              <c:strCache>
                <c:ptCount val="9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More</c:v>
                </c:pt>
              </c:strCache>
            </c:strRef>
          </c:cat>
          <c:val>
            <c:numRef>
              <c:f>'Aggregate Data'!$AK$10:$AK$18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</c:v>
                </c:pt>
                <c:pt idx="4">
                  <c:v>764</c:v>
                </c:pt>
                <c:pt idx="5">
                  <c:v>21</c:v>
                </c:pt>
                <c:pt idx="6">
                  <c:v>18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104824832"/>
        <c:axId val="104826368"/>
      </c:barChart>
      <c:catAx>
        <c:axId val="104824832"/>
        <c:scaling>
          <c:orientation val="minMax"/>
        </c:scaling>
        <c:axPos val="b"/>
        <c:tickLblPos val="nextTo"/>
        <c:crossAx val="104826368"/>
        <c:crosses val="autoZero"/>
        <c:auto val="1"/>
        <c:lblAlgn val="ctr"/>
        <c:lblOffset val="100"/>
      </c:catAx>
      <c:valAx>
        <c:axId val="10482636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048248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22" l="0.70000000000000062" r="0.70000000000000062" t="0.750000000000004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Bs Slats: Thickness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Bs!$D$63:$D$73</c:f>
              <c:strCache>
                <c:ptCount val="11"/>
                <c:pt idx="0">
                  <c:v>0.46</c:v>
                </c:pt>
                <c:pt idx="1">
                  <c:v>0.47</c:v>
                </c:pt>
                <c:pt idx="2">
                  <c:v>0.48</c:v>
                </c:pt>
                <c:pt idx="3">
                  <c:v>0.49</c:v>
                </c:pt>
                <c:pt idx="4">
                  <c:v>0.5</c:v>
                </c:pt>
                <c:pt idx="5">
                  <c:v>0.51</c:v>
                </c:pt>
                <c:pt idx="6">
                  <c:v>0.52</c:v>
                </c:pt>
                <c:pt idx="7">
                  <c:v>0.53</c:v>
                </c:pt>
                <c:pt idx="8">
                  <c:v>0.54</c:v>
                </c:pt>
                <c:pt idx="9">
                  <c:v>0.55</c:v>
                </c:pt>
                <c:pt idx="10">
                  <c:v>More</c:v>
                </c:pt>
              </c:strCache>
            </c:strRef>
          </c:cat>
          <c:val>
            <c:numRef>
              <c:f>Bs!$E$63:$E$73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26</c:v>
                </c:pt>
                <c:pt idx="5">
                  <c:v>64</c:v>
                </c:pt>
                <c:pt idx="6">
                  <c:v>52</c:v>
                </c:pt>
                <c:pt idx="7">
                  <c:v>34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axId val="82155392"/>
        <c:axId val="82173952"/>
      </c:barChart>
      <c:catAx>
        <c:axId val="82155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</a:t>
                </a:r>
                <a:r>
                  <a:rPr lang="en-US" baseline="0"/>
                  <a:t>s (mm)</a:t>
                </a:r>
                <a:endParaRPr lang="en-US"/>
              </a:p>
            </c:rich>
          </c:tx>
          <c:layout/>
        </c:title>
        <c:tickLblPos val="nextTo"/>
        <c:crossAx val="82173952"/>
        <c:crosses val="autoZero"/>
        <c:auto val="1"/>
        <c:lblAlgn val="ctr"/>
        <c:lblOffset val="100"/>
      </c:catAx>
      <c:valAx>
        <c:axId val="8217395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82155392"/>
        <c:crosses val="autoZero"/>
        <c:crossBetween val="between"/>
      </c:valAx>
    </c:plotArea>
    <c:plotVisOnly val="1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Short</a:t>
            </a:r>
            <a:r>
              <a:rPr lang="en-US" baseline="0"/>
              <a:t> Slat Lengths</a:t>
            </a:r>
            <a:endParaRPr lang="en-US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'Aggregate Data'!$BH$10:$BH$16</c:f>
              <c:strCache>
                <c:ptCount val="7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More</c:v>
                </c:pt>
              </c:strCache>
            </c:strRef>
          </c:cat>
          <c:val>
            <c:numRef>
              <c:f>'Aggregate Data'!$BI$10:$BI$16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147</c:v>
                </c:pt>
                <c:pt idx="3">
                  <c:v>89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axId val="114968064"/>
        <c:axId val="114969984"/>
      </c:barChart>
      <c:catAx>
        <c:axId val="114968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Lengths</a:t>
                </a:r>
                <a:r>
                  <a:rPr lang="en-US" baseline="0"/>
                  <a:t> (mm)</a:t>
                </a:r>
                <a:endParaRPr lang="en-US"/>
              </a:p>
            </c:rich>
          </c:tx>
        </c:title>
        <c:tickLblPos val="nextTo"/>
        <c:crossAx val="114969984"/>
        <c:crosses val="autoZero"/>
        <c:auto val="1"/>
        <c:lblAlgn val="ctr"/>
        <c:lblOffset val="100"/>
      </c:catAx>
      <c:valAx>
        <c:axId val="11496998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149680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'Spacers I'!$K$251:$K$271</c:f>
              <c:strCache>
                <c:ptCount val="21"/>
                <c:pt idx="0">
                  <c:v>-18</c:v>
                </c:pt>
                <c:pt idx="1">
                  <c:v>-16</c:v>
                </c:pt>
                <c:pt idx="2">
                  <c:v>-14</c:v>
                </c:pt>
                <c:pt idx="3">
                  <c:v>-12</c:v>
                </c:pt>
                <c:pt idx="4">
                  <c:v>-10</c:v>
                </c:pt>
                <c:pt idx="5">
                  <c:v>-8</c:v>
                </c:pt>
                <c:pt idx="6">
                  <c:v>-6</c:v>
                </c:pt>
                <c:pt idx="7">
                  <c:v>-4</c:v>
                </c:pt>
                <c:pt idx="8">
                  <c:v>-2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18</c:v>
                </c:pt>
                <c:pt idx="19">
                  <c:v>20</c:v>
                </c:pt>
                <c:pt idx="20">
                  <c:v>More</c:v>
                </c:pt>
              </c:strCache>
            </c:strRef>
          </c:cat>
          <c:val>
            <c:numRef>
              <c:f>'Spacers I'!$L$251:$L$271</c:f>
              <c:numCache>
                <c:formatCode>General</c:formatCode>
                <c:ptCount val="2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</c:ser>
        <c:axId val="85255296"/>
        <c:axId val="85257216"/>
      </c:barChart>
      <c:catAx>
        <c:axId val="85255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-20</a:t>
                </a:r>
              </a:p>
            </c:rich>
          </c:tx>
        </c:title>
        <c:tickLblPos val="nextTo"/>
        <c:crossAx val="85257216"/>
        <c:crosses val="autoZero"/>
        <c:auto val="1"/>
        <c:lblAlgn val="ctr"/>
        <c:lblOffset val="100"/>
      </c:catAx>
      <c:valAx>
        <c:axId val="8525721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852552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</a:t>
            </a:r>
            <a:r>
              <a:rPr lang="en-US" baseline="0"/>
              <a:t> Slats: Thickness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'C'!$C$56:$C$66</c:f>
              <c:strCache>
                <c:ptCount val="11"/>
                <c:pt idx="0">
                  <c:v>0.59</c:v>
                </c:pt>
                <c:pt idx="1">
                  <c:v>0.6</c:v>
                </c:pt>
                <c:pt idx="2">
                  <c:v>0.61</c:v>
                </c:pt>
                <c:pt idx="3">
                  <c:v>0.62</c:v>
                </c:pt>
                <c:pt idx="4">
                  <c:v>0.63</c:v>
                </c:pt>
                <c:pt idx="5">
                  <c:v>0.64</c:v>
                </c:pt>
                <c:pt idx="6">
                  <c:v>0.65</c:v>
                </c:pt>
                <c:pt idx="7">
                  <c:v>0.66</c:v>
                </c:pt>
                <c:pt idx="8">
                  <c:v>0.67</c:v>
                </c:pt>
                <c:pt idx="9">
                  <c:v>0.68</c:v>
                </c:pt>
                <c:pt idx="10">
                  <c:v>More</c:v>
                </c:pt>
              </c:strCache>
            </c:strRef>
          </c:cat>
          <c:val>
            <c:numRef>
              <c:f>'C'!$D$56:$D$66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28</c:v>
                </c:pt>
                <c:pt idx="4">
                  <c:v>89</c:v>
                </c:pt>
                <c:pt idx="5">
                  <c:v>47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axId val="82214912"/>
        <c:axId val="82216832"/>
      </c:barChart>
      <c:catAx>
        <c:axId val="82214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</c:title>
        <c:tickLblPos val="nextTo"/>
        <c:crossAx val="82216832"/>
        <c:crosses val="autoZero"/>
        <c:auto val="1"/>
        <c:lblAlgn val="ctr"/>
        <c:lblOffset val="100"/>
      </c:catAx>
      <c:valAx>
        <c:axId val="8221683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82214912"/>
        <c:crosses val="autoZero"/>
        <c:crossBetween val="between"/>
      </c:valAx>
    </c:plotArea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</a:t>
            </a:r>
            <a:r>
              <a:rPr lang="en-US" baseline="0"/>
              <a:t> Slats: Thickness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D!$C$68:$C$78</c:f>
              <c:strCache>
                <c:ptCount val="11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More</c:v>
                </c:pt>
              </c:strCache>
            </c:strRef>
          </c:cat>
          <c:val>
            <c:numRef>
              <c:f>D!$D$68:$D$78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16</c:v>
                </c:pt>
                <c:pt idx="3">
                  <c:v>34</c:v>
                </c:pt>
                <c:pt idx="4">
                  <c:v>49</c:v>
                </c:pt>
                <c:pt idx="5">
                  <c:v>59</c:v>
                </c:pt>
                <c:pt idx="6">
                  <c:v>63</c:v>
                </c:pt>
                <c:pt idx="7">
                  <c:v>20</c:v>
                </c:pt>
                <c:pt idx="8">
                  <c:v>7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axId val="82425728"/>
        <c:axId val="82427904"/>
      </c:barChart>
      <c:catAx>
        <c:axId val="82425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</c:title>
        <c:tickLblPos val="nextTo"/>
        <c:crossAx val="82427904"/>
        <c:crosses val="autoZero"/>
        <c:auto val="1"/>
        <c:lblAlgn val="ctr"/>
        <c:lblOffset val="100"/>
      </c:catAx>
      <c:valAx>
        <c:axId val="824279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82425728"/>
        <c:crosses val="autoZero"/>
        <c:crossBetween val="between"/>
      </c:valAx>
    </c:plotArea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</a:t>
            </a:r>
            <a:r>
              <a:rPr lang="en-US" baseline="0"/>
              <a:t> Slats: Thickness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E!$C$63:$C$74</c:f>
              <c:strCache>
                <c:ptCount val="12"/>
                <c:pt idx="0">
                  <c:v>0.84</c:v>
                </c:pt>
                <c:pt idx="1">
                  <c:v>0.85</c:v>
                </c:pt>
                <c:pt idx="2">
                  <c:v>0.86</c:v>
                </c:pt>
                <c:pt idx="3">
                  <c:v>0.87</c:v>
                </c:pt>
                <c:pt idx="4">
                  <c:v>0.88</c:v>
                </c:pt>
                <c:pt idx="5">
                  <c:v>0.89</c:v>
                </c:pt>
                <c:pt idx="6">
                  <c:v>0.9</c:v>
                </c:pt>
                <c:pt idx="7">
                  <c:v>0.91</c:v>
                </c:pt>
                <c:pt idx="8">
                  <c:v>0.92</c:v>
                </c:pt>
                <c:pt idx="9">
                  <c:v>0.93</c:v>
                </c:pt>
                <c:pt idx="10">
                  <c:v>0.94</c:v>
                </c:pt>
                <c:pt idx="11">
                  <c:v>More</c:v>
                </c:pt>
              </c:strCache>
            </c:strRef>
          </c:cat>
          <c:val>
            <c:numRef>
              <c:f>E!$D$63:$D$74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14</c:v>
                </c:pt>
                <c:pt idx="4">
                  <c:v>43</c:v>
                </c:pt>
                <c:pt idx="5">
                  <c:v>62</c:v>
                </c:pt>
                <c:pt idx="6">
                  <c:v>38</c:v>
                </c:pt>
                <c:pt idx="7">
                  <c:v>40</c:v>
                </c:pt>
                <c:pt idx="8">
                  <c:v>11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axId val="82440576"/>
        <c:axId val="84907904"/>
      </c:barChart>
      <c:catAx>
        <c:axId val="82440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</c:title>
        <c:tickLblPos val="nextTo"/>
        <c:crossAx val="84907904"/>
        <c:crosses val="autoZero"/>
        <c:auto val="1"/>
        <c:lblAlgn val="ctr"/>
        <c:lblOffset val="100"/>
      </c:catAx>
      <c:valAx>
        <c:axId val="849079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82440576"/>
        <c:crosses val="autoZero"/>
        <c:crossBetween val="between"/>
      </c:valAx>
    </c:plotArea>
    <c:plotVisOnly val="1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Es Slats:</a:t>
            </a:r>
            <a:r>
              <a:rPr lang="en-US" baseline="0"/>
              <a:t> Thickness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Es!$C$43:$C$54</c:f>
              <c:strCache>
                <c:ptCount val="12"/>
                <c:pt idx="0">
                  <c:v>0.84</c:v>
                </c:pt>
                <c:pt idx="1">
                  <c:v>0.85</c:v>
                </c:pt>
                <c:pt idx="2">
                  <c:v>0.86</c:v>
                </c:pt>
                <c:pt idx="3">
                  <c:v>0.87</c:v>
                </c:pt>
                <c:pt idx="4">
                  <c:v>0.88</c:v>
                </c:pt>
                <c:pt idx="5">
                  <c:v>0.89</c:v>
                </c:pt>
                <c:pt idx="6">
                  <c:v>0.9</c:v>
                </c:pt>
                <c:pt idx="7">
                  <c:v>0.91</c:v>
                </c:pt>
                <c:pt idx="8">
                  <c:v>0.92</c:v>
                </c:pt>
                <c:pt idx="9">
                  <c:v>0.93</c:v>
                </c:pt>
                <c:pt idx="10">
                  <c:v>0.94</c:v>
                </c:pt>
                <c:pt idx="11">
                  <c:v>More</c:v>
                </c:pt>
              </c:strCache>
            </c:strRef>
          </c:cat>
          <c:val>
            <c:numRef>
              <c:f>Es!$D$43:$D$54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11</c:v>
                </c:pt>
                <c:pt idx="4">
                  <c:v>27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axId val="87291776"/>
        <c:axId val="87293952"/>
      </c:barChart>
      <c:catAx>
        <c:axId val="87291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</c:title>
        <c:tickLblPos val="nextTo"/>
        <c:crossAx val="87293952"/>
        <c:crosses val="autoZero"/>
        <c:auto val="1"/>
        <c:lblAlgn val="ctr"/>
        <c:lblOffset val="100"/>
      </c:catAx>
      <c:valAx>
        <c:axId val="8729395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87291776"/>
        <c:crosses val="autoZero"/>
        <c:crossBetween val="between"/>
      </c:valAx>
    </c:plotArea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</a:t>
            </a:r>
            <a:r>
              <a:rPr lang="en-US" baseline="0"/>
              <a:t> Slats: Thickness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F!$C$51:$C$67</c:f>
              <c:strCache>
                <c:ptCount val="17"/>
                <c:pt idx="0">
                  <c:v>0.94</c:v>
                </c:pt>
                <c:pt idx="1">
                  <c:v>0.95</c:v>
                </c:pt>
                <c:pt idx="2">
                  <c:v>0.96</c:v>
                </c:pt>
                <c:pt idx="3">
                  <c:v>0.97</c:v>
                </c:pt>
                <c:pt idx="4">
                  <c:v>0.98</c:v>
                </c:pt>
                <c:pt idx="5">
                  <c:v>0.99</c:v>
                </c:pt>
                <c:pt idx="6">
                  <c:v>1</c:v>
                </c:pt>
                <c:pt idx="7">
                  <c:v>1.01</c:v>
                </c:pt>
                <c:pt idx="8">
                  <c:v>1.02</c:v>
                </c:pt>
                <c:pt idx="9">
                  <c:v>1.03</c:v>
                </c:pt>
                <c:pt idx="10">
                  <c:v>1.04</c:v>
                </c:pt>
                <c:pt idx="11">
                  <c:v>1.05</c:v>
                </c:pt>
                <c:pt idx="12">
                  <c:v>1.06</c:v>
                </c:pt>
                <c:pt idx="13">
                  <c:v>1.07</c:v>
                </c:pt>
                <c:pt idx="14">
                  <c:v>1.08</c:v>
                </c:pt>
                <c:pt idx="15">
                  <c:v>1.09</c:v>
                </c:pt>
                <c:pt idx="16">
                  <c:v>More</c:v>
                </c:pt>
              </c:strCache>
            </c:strRef>
          </c:cat>
          <c:val>
            <c:numRef>
              <c:f>F!$D$51:$D$67</c:f>
              <c:numCache>
                <c:formatCode>General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15</c:v>
                </c:pt>
                <c:pt idx="7">
                  <c:v>13</c:v>
                </c:pt>
                <c:pt idx="8">
                  <c:v>16</c:v>
                </c:pt>
                <c:pt idx="9">
                  <c:v>44</c:v>
                </c:pt>
                <c:pt idx="10">
                  <c:v>27</c:v>
                </c:pt>
                <c:pt idx="11">
                  <c:v>12</c:v>
                </c:pt>
                <c:pt idx="12">
                  <c:v>5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axId val="87343104"/>
        <c:axId val="87345024"/>
      </c:barChart>
      <c:catAx>
        <c:axId val="87343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</c:title>
        <c:tickLblPos val="nextTo"/>
        <c:crossAx val="87345024"/>
        <c:crosses val="autoZero"/>
        <c:auto val="1"/>
        <c:lblAlgn val="ctr"/>
        <c:lblOffset val="100"/>
      </c:catAx>
      <c:valAx>
        <c:axId val="8734502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87343104"/>
        <c:crosses val="autoZero"/>
        <c:crossBetween val="between"/>
      </c:valAx>
    </c:plotArea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79</xdr:row>
      <xdr:rowOff>0</xdr:rowOff>
    </xdr:from>
    <xdr:to>
      <xdr:col>16</xdr:col>
      <xdr:colOff>44823</xdr:colOff>
      <xdr:row>89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42</xdr:row>
      <xdr:rowOff>204106</xdr:rowOff>
    </xdr:from>
    <xdr:to>
      <xdr:col>15</xdr:col>
      <xdr:colOff>517072</xdr:colOff>
      <xdr:row>60</xdr:row>
      <xdr:rowOff>149679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44</xdr:row>
      <xdr:rowOff>204106</xdr:rowOff>
    </xdr:from>
    <xdr:to>
      <xdr:col>16</xdr:col>
      <xdr:colOff>0</xdr:colOff>
      <xdr:row>62</xdr:row>
      <xdr:rowOff>27214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38</xdr:row>
      <xdr:rowOff>-1</xdr:rowOff>
    </xdr:from>
    <xdr:to>
      <xdr:col>15</xdr:col>
      <xdr:colOff>408215</xdr:colOff>
      <xdr:row>55</xdr:row>
      <xdr:rowOff>108856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40</xdr:row>
      <xdr:rowOff>-1</xdr:rowOff>
    </xdr:from>
    <xdr:to>
      <xdr:col>14</xdr:col>
      <xdr:colOff>421821</xdr:colOff>
      <xdr:row>55</xdr:row>
      <xdr:rowOff>68035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39</xdr:row>
      <xdr:rowOff>204106</xdr:rowOff>
    </xdr:from>
    <xdr:to>
      <xdr:col>16</xdr:col>
      <xdr:colOff>0</xdr:colOff>
      <xdr:row>61</xdr:row>
      <xdr:rowOff>122465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612320</xdr:colOff>
      <xdr:row>34</xdr:row>
      <xdr:rowOff>204106</xdr:rowOff>
    </xdr:from>
    <xdr:to>
      <xdr:col>16</xdr:col>
      <xdr:colOff>0</xdr:colOff>
      <xdr:row>51</xdr:row>
      <xdr:rowOff>68035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449035</xdr:colOff>
      <xdr:row>28</xdr:row>
      <xdr:rowOff>190499</xdr:rowOff>
    </xdr:from>
    <xdr:to>
      <xdr:col>17</xdr:col>
      <xdr:colOff>91168</xdr:colOff>
      <xdr:row>49</xdr:row>
      <xdr:rowOff>40821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26</xdr:row>
      <xdr:rowOff>0</xdr:rowOff>
    </xdr:from>
    <xdr:to>
      <xdr:col>13</xdr:col>
      <xdr:colOff>313765</xdr:colOff>
      <xdr:row>42</xdr:row>
      <xdr:rowOff>179294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22410</xdr:colOff>
      <xdr:row>4</xdr:row>
      <xdr:rowOff>11206</xdr:rowOff>
    </xdr:from>
    <xdr:to>
      <xdr:col>13</xdr:col>
      <xdr:colOff>235322</xdr:colOff>
      <xdr:row>19</xdr:row>
      <xdr:rowOff>156882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30255</xdr:colOff>
      <xdr:row>34</xdr:row>
      <xdr:rowOff>180975</xdr:rowOff>
    </xdr:from>
    <xdr:to>
      <xdr:col>12</xdr:col>
      <xdr:colOff>171450</xdr:colOff>
      <xdr:row>45</xdr:row>
      <xdr:rowOff>180974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593910</xdr:colOff>
      <xdr:row>51</xdr:row>
      <xdr:rowOff>66675</xdr:rowOff>
    </xdr:from>
    <xdr:to>
      <xdr:col>11</xdr:col>
      <xdr:colOff>457200</xdr:colOff>
      <xdr:row>58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0.42462</cdr:x>
      <cdr:y>0.89623</cdr:y>
    </cdr:from>
    <cdr:to>
      <cdr:x>0.80292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55637" y="1687232"/>
          <a:ext cx="1742304" cy="1953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/>
            <a:t>Lengths (mm)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489856</xdr:colOff>
      <xdr:row>53</xdr:row>
      <xdr:rowOff>0</xdr:rowOff>
    </xdr:from>
    <xdr:to>
      <xdr:col>19</xdr:col>
      <xdr:colOff>449036</xdr:colOff>
      <xdr:row>63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600076</xdr:colOff>
      <xdr:row>5</xdr:row>
      <xdr:rowOff>180975</xdr:rowOff>
    </xdr:from>
    <xdr:to>
      <xdr:col>13</xdr:col>
      <xdr:colOff>0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</xdr:colOff>
      <xdr:row>44</xdr:row>
      <xdr:rowOff>0</xdr:rowOff>
    </xdr:from>
    <xdr:to>
      <xdr:col>13</xdr:col>
      <xdr:colOff>1</xdr:colOff>
      <xdr:row>54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</xdr:row>
      <xdr:rowOff>0</xdr:rowOff>
    </xdr:from>
    <xdr:to>
      <xdr:col>6</xdr:col>
      <xdr:colOff>0</xdr:colOff>
      <xdr:row>16</xdr:row>
      <xdr:rowOff>11206</xdr:rowOff>
    </xdr:to>
    <xdr:grpSp>
      <xdr:nvGrpSpPr>
        <xdr:cNvPr id="28" name="Group 27"/>
        <xdr:cNvGrpSpPr/>
      </xdr:nvGrpSpPr>
      <xdr:grpSpPr>
        <a:xfrm>
          <a:off x="0" y="1143000"/>
          <a:ext cx="3657600" cy="1916206"/>
          <a:chOff x="0" y="1143000"/>
          <a:chExt cx="3657600" cy="1916206"/>
        </a:xfrm>
      </xdr:grpSpPr>
      <xdr:graphicFrame macro="">
        <xdr:nvGraphicFramePr>
          <xdr:cNvPr id="2" name="Chart 1"/>
          <xdr:cNvGraphicFramePr/>
        </xdr:nvGraphicFramePr>
        <xdr:xfrm>
          <a:off x="0" y="1143000"/>
          <a:ext cx="3657600" cy="191620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9" name="TextBox 18"/>
          <xdr:cNvSpPr txBox="1"/>
        </xdr:nvSpPr>
        <xdr:spPr>
          <a:xfrm>
            <a:off x="2781301" y="1552575"/>
            <a:ext cx="762000" cy="4762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en-US" sz="1100"/>
              <a:t>Nominal .38</a:t>
            </a:r>
          </a:p>
        </xdr:txBody>
      </xdr:sp>
    </xdr:grpSp>
    <xdr:clientData/>
  </xdr:twoCellAnchor>
  <xdr:twoCellAnchor>
    <xdr:from>
      <xdr:col>0</xdr:col>
      <xdr:colOff>0</xdr:colOff>
      <xdr:row>18</xdr:row>
      <xdr:rowOff>19050</xdr:rowOff>
    </xdr:from>
    <xdr:to>
      <xdr:col>6</xdr:col>
      <xdr:colOff>28575</xdr:colOff>
      <xdr:row>28</xdr:row>
      <xdr:rowOff>171450</xdr:rowOff>
    </xdr:to>
    <xdr:grpSp>
      <xdr:nvGrpSpPr>
        <xdr:cNvPr id="26" name="Group 25"/>
        <xdr:cNvGrpSpPr/>
      </xdr:nvGrpSpPr>
      <xdr:grpSpPr>
        <a:xfrm>
          <a:off x="0" y="3448050"/>
          <a:ext cx="3686175" cy="2057400"/>
          <a:chOff x="0" y="3448050"/>
          <a:chExt cx="3686175" cy="2057400"/>
        </a:xfrm>
      </xdr:grpSpPr>
      <xdr:graphicFrame macro="">
        <xdr:nvGraphicFramePr>
          <xdr:cNvPr id="4" name="Chart 3"/>
          <xdr:cNvGraphicFramePr/>
        </xdr:nvGraphicFramePr>
        <xdr:xfrm>
          <a:off x="0" y="3448050"/>
          <a:ext cx="3686175" cy="2057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20" name="TextBox 18"/>
          <xdr:cNvSpPr txBox="1"/>
        </xdr:nvSpPr>
        <xdr:spPr>
          <a:xfrm>
            <a:off x="2800350" y="3781425"/>
            <a:ext cx="762000" cy="47625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ysClr val="window" lastClr="FFFFFF">
                <a:shade val="50000"/>
              </a:sysClr>
            </a:solidFill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100"/>
              <a:t>Nominal .508</a:t>
            </a:r>
          </a:p>
        </xdr:txBody>
      </xdr:sp>
    </xdr:grpSp>
    <xdr:clientData/>
  </xdr:twoCellAnchor>
  <xdr:twoCellAnchor>
    <xdr:from>
      <xdr:col>7</xdr:col>
      <xdr:colOff>0</xdr:colOff>
      <xdr:row>17</xdr:row>
      <xdr:rowOff>180975</xdr:rowOff>
    </xdr:from>
    <xdr:to>
      <xdr:col>13</xdr:col>
      <xdr:colOff>9525</xdr:colOff>
      <xdr:row>29</xdr:row>
      <xdr:rowOff>0</xdr:rowOff>
    </xdr:to>
    <xdr:grpSp>
      <xdr:nvGrpSpPr>
        <xdr:cNvPr id="27" name="Group 26"/>
        <xdr:cNvGrpSpPr/>
      </xdr:nvGrpSpPr>
      <xdr:grpSpPr>
        <a:xfrm>
          <a:off x="4267200" y="3419475"/>
          <a:ext cx="3667125" cy="2105025"/>
          <a:chOff x="4267200" y="3419475"/>
          <a:chExt cx="3667125" cy="2105025"/>
        </a:xfrm>
      </xdr:grpSpPr>
      <xdr:graphicFrame macro="">
        <xdr:nvGraphicFramePr>
          <xdr:cNvPr id="5" name="Chart 4"/>
          <xdr:cNvGraphicFramePr/>
        </xdr:nvGraphicFramePr>
        <xdr:xfrm>
          <a:off x="4267200" y="3419475"/>
          <a:ext cx="3667125" cy="21050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21" name="TextBox 18"/>
          <xdr:cNvSpPr txBox="1"/>
        </xdr:nvSpPr>
        <xdr:spPr>
          <a:xfrm>
            <a:off x="7010400" y="3743325"/>
            <a:ext cx="762000" cy="47625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ysClr val="window" lastClr="FFFFFF">
                <a:shade val="50000"/>
              </a:sysClr>
            </a:solidFill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100"/>
              <a:t>Nominal .508</a:t>
            </a:r>
          </a:p>
        </xdr:txBody>
      </xdr:sp>
    </xdr:grpSp>
    <xdr:clientData/>
  </xdr:twoCellAnchor>
  <xdr:twoCellAnchor>
    <xdr:from>
      <xdr:col>0</xdr:col>
      <xdr:colOff>0</xdr:colOff>
      <xdr:row>31</xdr:row>
      <xdr:rowOff>0</xdr:rowOff>
    </xdr:from>
    <xdr:to>
      <xdr:col>5</xdr:col>
      <xdr:colOff>600075</xdr:colOff>
      <xdr:row>41</xdr:row>
      <xdr:rowOff>180975</xdr:rowOff>
    </xdr:to>
    <xdr:grpSp>
      <xdr:nvGrpSpPr>
        <xdr:cNvPr id="25" name="Group 24"/>
        <xdr:cNvGrpSpPr/>
      </xdr:nvGrpSpPr>
      <xdr:grpSpPr>
        <a:xfrm>
          <a:off x="0" y="5905500"/>
          <a:ext cx="3648075" cy="2085975"/>
          <a:chOff x="0" y="5905500"/>
          <a:chExt cx="3648075" cy="2085975"/>
        </a:xfrm>
      </xdr:grpSpPr>
      <xdr:graphicFrame macro="">
        <xdr:nvGraphicFramePr>
          <xdr:cNvPr id="6" name="Chart 5"/>
          <xdr:cNvGraphicFramePr/>
        </xdr:nvGraphicFramePr>
        <xdr:xfrm>
          <a:off x="0" y="5905500"/>
          <a:ext cx="3648075" cy="20859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22" name="TextBox 18"/>
          <xdr:cNvSpPr txBox="1"/>
        </xdr:nvSpPr>
        <xdr:spPr>
          <a:xfrm>
            <a:off x="2752725" y="6324600"/>
            <a:ext cx="762000" cy="47625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ysClr val="window" lastClr="FFFFFF">
                <a:shade val="50000"/>
              </a:sysClr>
            </a:solidFill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100"/>
              <a:t>Nominal .635</a:t>
            </a:r>
          </a:p>
        </xdr:txBody>
      </xdr:sp>
    </xdr:grpSp>
    <xdr:clientData/>
  </xdr:twoCellAnchor>
  <xdr:twoCellAnchor>
    <xdr:from>
      <xdr:col>7</xdr:col>
      <xdr:colOff>0</xdr:colOff>
      <xdr:row>31</xdr:row>
      <xdr:rowOff>0</xdr:rowOff>
    </xdr:from>
    <xdr:to>
      <xdr:col>13</xdr:col>
      <xdr:colOff>0</xdr:colOff>
      <xdr:row>42</xdr:row>
      <xdr:rowOff>19050</xdr:rowOff>
    </xdr:to>
    <xdr:grpSp>
      <xdr:nvGrpSpPr>
        <xdr:cNvPr id="24" name="Group 23"/>
        <xdr:cNvGrpSpPr/>
      </xdr:nvGrpSpPr>
      <xdr:grpSpPr>
        <a:xfrm>
          <a:off x="4267200" y="5905500"/>
          <a:ext cx="3657600" cy="2114550"/>
          <a:chOff x="4267200" y="5905500"/>
          <a:chExt cx="3657600" cy="2114550"/>
        </a:xfrm>
      </xdr:grpSpPr>
      <xdr:graphicFrame macro="">
        <xdr:nvGraphicFramePr>
          <xdr:cNvPr id="7" name="Chart 6"/>
          <xdr:cNvGraphicFramePr/>
        </xdr:nvGraphicFramePr>
        <xdr:xfrm>
          <a:off x="4267200" y="5905500"/>
          <a:ext cx="3657600" cy="21145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23" name="TextBox 18"/>
          <xdr:cNvSpPr txBox="1"/>
        </xdr:nvSpPr>
        <xdr:spPr>
          <a:xfrm>
            <a:off x="6962775" y="6296025"/>
            <a:ext cx="762000" cy="47625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ysClr val="window" lastClr="FFFFFF">
                <a:shade val="50000"/>
              </a:sysClr>
            </a:solidFill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100"/>
              <a:t>Nominal .762</a:t>
            </a:r>
          </a:p>
        </xdr:txBody>
      </xdr:sp>
    </xdr:grpSp>
    <xdr:clientData/>
  </xdr:twoCellAnchor>
  <xdr:twoCellAnchor>
    <xdr:from>
      <xdr:col>0</xdr:col>
      <xdr:colOff>0</xdr:colOff>
      <xdr:row>44</xdr:row>
      <xdr:rowOff>1</xdr:rowOff>
    </xdr:from>
    <xdr:to>
      <xdr:col>6</xdr:col>
      <xdr:colOff>0</xdr:colOff>
      <xdr:row>54</xdr:row>
      <xdr:rowOff>171451</xdr:rowOff>
    </xdr:to>
    <xdr:grpSp>
      <xdr:nvGrpSpPr>
        <xdr:cNvPr id="30" name="Group 29"/>
        <xdr:cNvGrpSpPr/>
      </xdr:nvGrpSpPr>
      <xdr:grpSpPr>
        <a:xfrm>
          <a:off x="0" y="8382001"/>
          <a:ext cx="3657600" cy="2076450"/>
          <a:chOff x="0" y="8382001"/>
          <a:chExt cx="3657600" cy="2076450"/>
        </a:xfrm>
      </xdr:grpSpPr>
      <xdr:graphicFrame macro="">
        <xdr:nvGraphicFramePr>
          <xdr:cNvPr id="8" name="Chart 7"/>
          <xdr:cNvGraphicFramePr/>
        </xdr:nvGraphicFramePr>
        <xdr:xfrm>
          <a:off x="0" y="8382001"/>
          <a:ext cx="3657600" cy="20764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">
        <xdr:nvSpPr>
          <xdr:cNvPr id="29" name="TextBox 18"/>
          <xdr:cNvSpPr txBox="1"/>
        </xdr:nvSpPr>
        <xdr:spPr>
          <a:xfrm>
            <a:off x="2733675" y="8763000"/>
            <a:ext cx="762000" cy="47625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ysClr val="window" lastClr="FFFFFF">
                <a:shade val="50000"/>
              </a:sysClr>
            </a:solidFill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100"/>
              <a:t>Nominal .889</a:t>
            </a:r>
          </a:p>
        </xdr:txBody>
      </xdr:sp>
    </xdr:grpSp>
    <xdr:clientData/>
  </xdr:twoCellAnchor>
  <xdr:twoCellAnchor>
    <xdr:from>
      <xdr:col>11</xdr:col>
      <xdr:colOff>200025</xdr:colOff>
      <xdr:row>46</xdr:row>
      <xdr:rowOff>38100</xdr:rowOff>
    </xdr:from>
    <xdr:to>
      <xdr:col>12</xdr:col>
      <xdr:colOff>352425</xdr:colOff>
      <xdr:row>48</xdr:row>
      <xdr:rowOff>133350</xdr:rowOff>
    </xdr:to>
    <xdr:sp macro="" textlink="">
      <xdr:nvSpPr>
        <xdr:cNvPr id="31" name="TextBox 18"/>
        <xdr:cNvSpPr txBox="1"/>
      </xdr:nvSpPr>
      <xdr:spPr>
        <a:xfrm>
          <a:off x="6905625" y="8801100"/>
          <a:ext cx="762000" cy="476250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Nominal .889</a:t>
          </a:r>
        </a:p>
      </xdr:txBody>
    </xdr:sp>
    <xdr:clientData/>
  </xdr:twoCellAnchor>
  <xdr:twoCellAnchor>
    <xdr:from>
      <xdr:col>7</xdr:col>
      <xdr:colOff>0</xdr:colOff>
      <xdr:row>57</xdr:row>
      <xdr:rowOff>0</xdr:rowOff>
    </xdr:from>
    <xdr:to>
      <xdr:col>13</xdr:col>
      <xdr:colOff>0</xdr:colOff>
      <xdr:row>67</xdr:row>
      <xdr:rowOff>180975</xdr:rowOff>
    </xdr:to>
    <xdr:grpSp>
      <xdr:nvGrpSpPr>
        <xdr:cNvPr id="36" name="Group 35"/>
        <xdr:cNvGrpSpPr/>
      </xdr:nvGrpSpPr>
      <xdr:grpSpPr>
        <a:xfrm>
          <a:off x="4267200" y="10858500"/>
          <a:ext cx="3657600" cy="2085975"/>
          <a:chOff x="4267200" y="10858500"/>
          <a:chExt cx="3657600" cy="2085975"/>
        </a:xfrm>
      </xdr:grpSpPr>
      <xdr:graphicFrame macro="">
        <xdr:nvGraphicFramePr>
          <xdr:cNvPr id="11" name="Chart 10"/>
          <xdr:cNvGraphicFramePr/>
        </xdr:nvGraphicFramePr>
        <xdr:xfrm>
          <a:off x="4267200" y="10858500"/>
          <a:ext cx="3657600" cy="20859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sp macro="" textlink="">
        <xdr:nvSpPr>
          <xdr:cNvPr id="32" name="TextBox 18"/>
          <xdr:cNvSpPr txBox="1"/>
        </xdr:nvSpPr>
        <xdr:spPr>
          <a:xfrm>
            <a:off x="7010400" y="11182350"/>
            <a:ext cx="762000" cy="47625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ysClr val="window" lastClr="FFFFFF">
                <a:shade val="50000"/>
              </a:sysClr>
            </a:solidFill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100"/>
              <a:t>Nominal </a:t>
            </a:r>
            <a:r>
              <a:rPr lang="en-US" sz="1100" baseline="0"/>
              <a:t> 1.02</a:t>
            </a:r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57</xdr:row>
      <xdr:rowOff>0</xdr:rowOff>
    </xdr:from>
    <xdr:to>
      <xdr:col>6</xdr:col>
      <xdr:colOff>0</xdr:colOff>
      <xdr:row>67</xdr:row>
      <xdr:rowOff>180975</xdr:rowOff>
    </xdr:to>
    <xdr:grpSp>
      <xdr:nvGrpSpPr>
        <xdr:cNvPr id="35" name="Group 34"/>
        <xdr:cNvGrpSpPr/>
      </xdr:nvGrpSpPr>
      <xdr:grpSpPr>
        <a:xfrm>
          <a:off x="0" y="10858500"/>
          <a:ext cx="3657600" cy="2085975"/>
          <a:chOff x="0" y="10858500"/>
          <a:chExt cx="3657600" cy="2085975"/>
        </a:xfrm>
      </xdr:grpSpPr>
      <xdr:graphicFrame macro="">
        <xdr:nvGraphicFramePr>
          <xdr:cNvPr id="10" name="Chart 9"/>
          <xdr:cNvGraphicFramePr/>
        </xdr:nvGraphicFramePr>
        <xdr:xfrm>
          <a:off x="0" y="10858500"/>
          <a:ext cx="3657600" cy="20859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sp macro="" textlink="">
        <xdr:nvSpPr>
          <xdr:cNvPr id="33" name="TextBox 18"/>
          <xdr:cNvSpPr txBox="1"/>
        </xdr:nvSpPr>
        <xdr:spPr>
          <a:xfrm>
            <a:off x="2800350" y="11258550"/>
            <a:ext cx="762000" cy="47625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ysClr val="window" lastClr="FFFFFF">
                <a:shade val="50000"/>
              </a:sysClr>
            </a:solidFill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100"/>
              <a:t>Nominal </a:t>
            </a:r>
            <a:r>
              <a:rPr lang="en-US" sz="1100" baseline="0"/>
              <a:t> 1.02</a:t>
            </a:r>
            <a:endParaRPr lang="en-US" sz="1100"/>
          </a:p>
        </xdr:txBody>
      </xdr:sp>
    </xdr:grpSp>
    <xdr:clientData/>
  </xdr:twoCellAnchor>
  <xdr:twoCellAnchor>
    <xdr:from>
      <xdr:col>7</xdr:col>
      <xdr:colOff>1</xdr:colOff>
      <xdr:row>69</xdr:row>
      <xdr:rowOff>1</xdr:rowOff>
    </xdr:from>
    <xdr:to>
      <xdr:col>13</xdr:col>
      <xdr:colOff>0</xdr:colOff>
      <xdr:row>80</xdr:row>
      <xdr:rowOff>19051</xdr:rowOff>
    </xdr:to>
    <xdr:grpSp>
      <xdr:nvGrpSpPr>
        <xdr:cNvPr id="40" name="Group 39"/>
        <xdr:cNvGrpSpPr/>
      </xdr:nvGrpSpPr>
      <xdr:grpSpPr>
        <a:xfrm>
          <a:off x="4267201" y="13144501"/>
          <a:ext cx="3657599" cy="2114550"/>
          <a:chOff x="4267201" y="13144501"/>
          <a:chExt cx="3657599" cy="2114550"/>
        </a:xfrm>
      </xdr:grpSpPr>
      <xdr:graphicFrame macro="">
        <xdr:nvGraphicFramePr>
          <xdr:cNvPr id="13" name="Chart 12"/>
          <xdr:cNvGraphicFramePr/>
        </xdr:nvGraphicFramePr>
        <xdr:xfrm>
          <a:off x="4267201" y="13144501"/>
          <a:ext cx="3657599" cy="21145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sp macro="" textlink="">
        <xdr:nvSpPr>
          <xdr:cNvPr id="34" name="TextBox 18"/>
          <xdr:cNvSpPr txBox="1"/>
        </xdr:nvSpPr>
        <xdr:spPr>
          <a:xfrm>
            <a:off x="6953250" y="13563600"/>
            <a:ext cx="762000" cy="47625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ysClr val="window" lastClr="FFFFFF">
                <a:shade val="50000"/>
              </a:sysClr>
            </a:solidFill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100"/>
              <a:t>Nominal </a:t>
            </a:r>
            <a:r>
              <a:rPr lang="en-US" sz="1100" baseline="0"/>
              <a:t> 1.27</a:t>
            </a:r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69</xdr:row>
      <xdr:rowOff>1</xdr:rowOff>
    </xdr:from>
    <xdr:to>
      <xdr:col>6</xdr:col>
      <xdr:colOff>9524</xdr:colOff>
      <xdr:row>80</xdr:row>
      <xdr:rowOff>1</xdr:rowOff>
    </xdr:to>
    <xdr:grpSp>
      <xdr:nvGrpSpPr>
        <xdr:cNvPr id="41" name="Group 40"/>
        <xdr:cNvGrpSpPr/>
      </xdr:nvGrpSpPr>
      <xdr:grpSpPr>
        <a:xfrm>
          <a:off x="0" y="13144501"/>
          <a:ext cx="3667124" cy="2095500"/>
          <a:chOff x="0" y="13144501"/>
          <a:chExt cx="3667124" cy="2095500"/>
        </a:xfrm>
      </xdr:grpSpPr>
      <xdr:graphicFrame macro="">
        <xdr:nvGraphicFramePr>
          <xdr:cNvPr id="12" name="Chart 11"/>
          <xdr:cNvGraphicFramePr/>
        </xdr:nvGraphicFramePr>
        <xdr:xfrm>
          <a:off x="0" y="13144501"/>
          <a:ext cx="3667124" cy="2095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sp macro="" textlink="">
        <xdr:nvSpPr>
          <xdr:cNvPr id="37" name="TextBox 18"/>
          <xdr:cNvSpPr txBox="1"/>
        </xdr:nvSpPr>
        <xdr:spPr>
          <a:xfrm>
            <a:off x="2752725" y="13525500"/>
            <a:ext cx="762000" cy="47625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ysClr val="window" lastClr="FFFFFF">
                <a:shade val="50000"/>
              </a:sysClr>
            </a:solidFill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100"/>
              <a:t>Nominal </a:t>
            </a:r>
            <a:r>
              <a:rPr lang="en-US" sz="1100" baseline="0"/>
              <a:t> 1.27</a:t>
            </a:r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82</xdr:row>
      <xdr:rowOff>0</xdr:rowOff>
    </xdr:from>
    <xdr:to>
      <xdr:col>6</xdr:col>
      <xdr:colOff>0</xdr:colOff>
      <xdr:row>92</xdr:row>
      <xdr:rowOff>180975</xdr:rowOff>
    </xdr:to>
    <xdr:grpSp>
      <xdr:nvGrpSpPr>
        <xdr:cNvPr id="48" name="Group 47"/>
        <xdr:cNvGrpSpPr/>
      </xdr:nvGrpSpPr>
      <xdr:grpSpPr>
        <a:xfrm>
          <a:off x="0" y="15621000"/>
          <a:ext cx="3657600" cy="2085975"/>
          <a:chOff x="0" y="15621000"/>
          <a:chExt cx="3657600" cy="2085975"/>
        </a:xfrm>
      </xdr:grpSpPr>
      <xdr:graphicFrame macro="">
        <xdr:nvGraphicFramePr>
          <xdr:cNvPr id="14" name="Chart 13"/>
          <xdr:cNvGraphicFramePr/>
        </xdr:nvGraphicFramePr>
        <xdr:xfrm>
          <a:off x="0" y="15621000"/>
          <a:ext cx="3657600" cy="20859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sp macro="" textlink="">
        <xdr:nvSpPr>
          <xdr:cNvPr id="38" name="TextBox 18"/>
          <xdr:cNvSpPr txBox="1"/>
        </xdr:nvSpPr>
        <xdr:spPr>
          <a:xfrm>
            <a:off x="2695575" y="15973425"/>
            <a:ext cx="762000" cy="47625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ysClr val="window" lastClr="FFFFFF">
                <a:shade val="50000"/>
              </a:sysClr>
            </a:solidFill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100"/>
              <a:t>Nominal </a:t>
            </a:r>
            <a:r>
              <a:rPr lang="en-US" sz="1100" baseline="0"/>
              <a:t> 1.524</a:t>
            </a:r>
            <a:endParaRPr lang="en-US" sz="1100"/>
          </a:p>
        </xdr:txBody>
      </xdr:sp>
    </xdr:grpSp>
    <xdr:clientData/>
  </xdr:twoCellAnchor>
  <xdr:twoCellAnchor>
    <xdr:from>
      <xdr:col>7</xdr:col>
      <xdr:colOff>0</xdr:colOff>
      <xdr:row>82</xdr:row>
      <xdr:rowOff>0</xdr:rowOff>
    </xdr:from>
    <xdr:to>
      <xdr:col>13</xdr:col>
      <xdr:colOff>9525</xdr:colOff>
      <xdr:row>93</xdr:row>
      <xdr:rowOff>9525</xdr:rowOff>
    </xdr:to>
    <xdr:grpSp>
      <xdr:nvGrpSpPr>
        <xdr:cNvPr id="49" name="Group 48"/>
        <xdr:cNvGrpSpPr/>
      </xdr:nvGrpSpPr>
      <xdr:grpSpPr>
        <a:xfrm>
          <a:off x="4267200" y="15621000"/>
          <a:ext cx="3667125" cy="2105025"/>
          <a:chOff x="4267200" y="15621000"/>
          <a:chExt cx="3667125" cy="2105025"/>
        </a:xfrm>
      </xdr:grpSpPr>
      <xdr:graphicFrame macro="">
        <xdr:nvGraphicFramePr>
          <xdr:cNvPr id="15" name="Chart 14"/>
          <xdr:cNvGraphicFramePr/>
        </xdr:nvGraphicFramePr>
        <xdr:xfrm>
          <a:off x="4267200" y="15621000"/>
          <a:ext cx="3667125" cy="21050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sp macro="" textlink="">
        <xdr:nvSpPr>
          <xdr:cNvPr id="39" name="TextBox 18"/>
          <xdr:cNvSpPr txBox="1"/>
        </xdr:nvSpPr>
        <xdr:spPr>
          <a:xfrm>
            <a:off x="6924675" y="16011525"/>
            <a:ext cx="762000" cy="47625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ysClr val="window" lastClr="FFFFFF">
                <a:shade val="50000"/>
              </a:sysClr>
            </a:solidFill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100"/>
              <a:t>Nominal </a:t>
            </a:r>
            <a:r>
              <a:rPr lang="en-US" sz="1100" baseline="0"/>
              <a:t> 2.032</a:t>
            </a:r>
            <a:endParaRPr lang="en-US" sz="1100"/>
          </a:p>
        </xdr:txBody>
      </xdr:sp>
    </xdr:grpSp>
    <xdr:clientData/>
  </xdr:twoCellAnchor>
  <xdr:twoCellAnchor>
    <xdr:from>
      <xdr:col>0</xdr:col>
      <xdr:colOff>1</xdr:colOff>
      <xdr:row>95</xdr:row>
      <xdr:rowOff>1</xdr:rowOff>
    </xdr:from>
    <xdr:to>
      <xdr:col>6</xdr:col>
      <xdr:colOff>9525</xdr:colOff>
      <xdr:row>106</xdr:row>
      <xdr:rowOff>9525</xdr:rowOff>
    </xdr:to>
    <xdr:grpSp>
      <xdr:nvGrpSpPr>
        <xdr:cNvPr id="47" name="Group 46"/>
        <xdr:cNvGrpSpPr/>
      </xdr:nvGrpSpPr>
      <xdr:grpSpPr>
        <a:xfrm>
          <a:off x="1" y="18097501"/>
          <a:ext cx="3667124" cy="2105024"/>
          <a:chOff x="1" y="18097501"/>
          <a:chExt cx="3667124" cy="2105024"/>
        </a:xfrm>
      </xdr:grpSpPr>
      <xdr:graphicFrame macro="">
        <xdr:nvGraphicFramePr>
          <xdr:cNvPr id="16" name="Chart 15"/>
          <xdr:cNvGraphicFramePr/>
        </xdr:nvGraphicFramePr>
        <xdr:xfrm>
          <a:off x="1" y="18097501"/>
          <a:ext cx="3667124" cy="21050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sp macro="" textlink="">
        <xdr:nvSpPr>
          <xdr:cNvPr id="42" name="TextBox 18"/>
          <xdr:cNvSpPr txBox="1"/>
        </xdr:nvSpPr>
        <xdr:spPr>
          <a:xfrm>
            <a:off x="2743200" y="18373725"/>
            <a:ext cx="762000" cy="47625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ysClr val="window" lastClr="FFFFFF">
                <a:shade val="50000"/>
              </a:sysClr>
            </a:solidFill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100"/>
              <a:t>Nominal </a:t>
            </a:r>
            <a:r>
              <a:rPr lang="en-US" sz="1100" baseline="0"/>
              <a:t> 3.175</a:t>
            </a:r>
            <a:endParaRPr lang="en-US" sz="1100"/>
          </a:p>
        </xdr:txBody>
      </xdr:sp>
    </xdr:grpSp>
    <xdr:clientData/>
  </xdr:twoCellAnchor>
  <xdr:twoCellAnchor>
    <xdr:from>
      <xdr:col>0</xdr:col>
      <xdr:colOff>1</xdr:colOff>
      <xdr:row>108</xdr:row>
      <xdr:rowOff>1</xdr:rowOff>
    </xdr:from>
    <xdr:to>
      <xdr:col>6</xdr:col>
      <xdr:colOff>1</xdr:colOff>
      <xdr:row>119</xdr:row>
      <xdr:rowOff>1</xdr:rowOff>
    </xdr:to>
    <xdr:grpSp>
      <xdr:nvGrpSpPr>
        <xdr:cNvPr id="46" name="Group 45"/>
        <xdr:cNvGrpSpPr/>
      </xdr:nvGrpSpPr>
      <xdr:grpSpPr>
        <a:xfrm>
          <a:off x="1" y="20574001"/>
          <a:ext cx="3657600" cy="2095500"/>
          <a:chOff x="1" y="20574001"/>
          <a:chExt cx="3657600" cy="2095500"/>
        </a:xfrm>
      </xdr:grpSpPr>
      <xdr:graphicFrame macro="">
        <xdr:nvGraphicFramePr>
          <xdr:cNvPr id="17" name="Chart 16"/>
          <xdr:cNvGraphicFramePr/>
        </xdr:nvGraphicFramePr>
        <xdr:xfrm>
          <a:off x="1" y="20574001"/>
          <a:ext cx="3657600" cy="2095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  <xdr:sp macro="" textlink="">
        <xdr:nvSpPr>
          <xdr:cNvPr id="43" name="TextBox 18"/>
          <xdr:cNvSpPr txBox="1"/>
        </xdr:nvSpPr>
        <xdr:spPr>
          <a:xfrm>
            <a:off x="2714625" y="20955000"/>
            <a:ext cx="762000" cy="47625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ysClr val="window" lastClr="FFFFFF">
                <a:shade val="50000"/>
              </a:sysClr>
            </a:solidFill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100"/>
              <a:t>Nominal </a:t>
            </a:r>
            <a:r>
              <a:rPr lang="en-US" sz="1100" baseline="0"/>
              <a:t> 6.35</a:t>
            </a:r>
            <a:endParaRPr lang="en-US" sz="1100"/>
          </a:p>
        </xdr:txBody>
      </xdr:sp>
    </xdr:grpSp>
    <xdr:clientData/>
  </xdr:twoCellAnchor>
  <xdr:twoCellAnchor>
    <xdr:from>
      <xdr:col>7</xdr:col>
      <xdr:colOff>0</xdr:colOff>
      <xdr:row>107</xdr:row>
      <xdr:rowOff>190499</xdr:rowOff>
    </xdr:from>
    <xdr:to>
      <xdr:col>13</xdr:col>
      <xdr:colOff>0</xdr:colOff>
      <xdr:row>119</xdr:row>
      <xdr:rowOff>28574</xdr:rowOff>
    </xdr:to>
    <xdr:grpSp>
      <xdr:nvGrpSpPr>
        <xdr:cNvPr id="45" name="Group 44"/>
        <xdr:cNvGrpSpPr/>
      </xdr:nvGrpSpPr>
      <xdr:grpSpPr>
        <a:xfrm>
          <a:off x="4267200" y="20573999"/>
          <a:ext cx="3657600" cy="2124075"/>
          <a:chOff x="4267200" y="20573999"/>
          <a:chExt cx="3657600" cy="2124075"/>
        </a:xfrm>
      </xdr:grpSpPr>
      <xdr:graphicFrame macro="">
        <xdr:nvGraphicFramePr>
          <xdr:cNvPr id="18" name="Chart 17"/>
          <xdr:cNvGraphicFramePr/>
        </xdr:nvGraphicFramePr>
        <xdr:xfrm>
          <a:off x="4267200" y="20573999"/>
          <a:ext cx="3657600" cy="21240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7"/>
          </a:graphicData>
        </a:graphic>
      </xdr:graphicFrame>
      <xdr:sp macro="" textlink="">
        <xdr:nvSpPr>
          <xdr:cNvPr id="44" name="TextBox 18"/>
          <xdr:cNvSpPr txBox="1"/>
        </xdr:nvSpPr>
        <xdr:spPr>
          <a:xfrm>
            <a:off x="7019925" y="20859750"/>
            <a:ext cx="762000" cy="47625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ysClr val="window" lastClr="FFFFFF">
                <a:shade val="50000"/>
              </a:sysClr>
            </a:solidFill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100"/>
              <a:t>Nominal </a:t>
            </a:r>
            <a:r>
              <a:rPr lang="en-US" sz="1100" baseline="0"/>
              <a:t> 6.35</a:t>
            </a:r>
            <a:endParaRPr lang="en-US" sz="1100"/>
          </a:p>
        </xdr:txBody>
      </xdr:sp>
    </xdr:grpSp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0.75584</cdr:x>
      <cdr:y>0.16915</cdr:y>
    </cdr:from>
    <cdr:to>
      <cdr:x>0.96364</cdr:x>
      <cdr:y>0.41791</cdr:y>
    </cdr:to>
    <cdr:sp macro="" textlink="">
      <cdr:nvSpPr>
        <cdr:cNvPr id="2" name="TextBox 18"/>
        <cdr:cNvSpPr txBox="1"/>
      </cdr:nvSpPr>
      <cdr:spPr>
        <a:xfrm xmlns:a="http://schemas.openxmlformats.org/drawingml/2006/main">
          <a:off x="2771775" y="323850"/>
          <a:ext cx="762000" cy="47625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>
              <a:shade val="50000"/>
            </a:sysClr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/>
            <a:t>Nominal .38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381001</xdr:colOff>
      <xdr:row>1</xdr:row>
      <xdr:rowOff>184683</xdr:rowOff>
    </xdr:from>
    <xdr:to>
      <xdr:col>24</xdr:col>
      <xdr:colOff>285750</xdr:colOff>
      <xdr:row>17</xdr:row>
      <xdr:rowOff>136071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557893</xdr:colOff>
      <xdr:row>5</xdr:row>
      <xdr:rowOff>54429</xdr:rowOff>
    </xdr:from>
    <xdr:to>
      <xdr:col>48</xdr:col>
      <xdr:colOff>106589</xdr:colOff>
      <xdr:row>14</xdr:row>
      <xdr:rowOff>149678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66</xdr:col>
      <xdr:colOff>27215</xdr:colOff>
      <xdr:row>5</xdr:row>
      <xdr:rowOff>0</xdr:rowOff>
    </xdr:from>
    <xdr:to>
      <xdr:col>72</xdr:col>
      <xdr:colOff>231322</xdr:colOff>
      <xdr:row>16</xdr:row>
      <xdr:rowOff>149679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0.42462</cdr:x>
      <cdr:y>0.89623</cdr:y>
    </cdr:from>
    <cdr:to>
      <cdr:x>0.62814</cdr:x>
      <cdr:y>0.97484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99607" y="3878036"/>
          <a:ext cx="1102180" cy="3401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/>
            <a:t>Lengths (mm)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476250</xdr:colOff>
      <xdr:row>247</xdr:row>
      <xdr:rowOff>0</xdr:rowOff>
    </xdr:from>
    <xdr:to>
      <xdr:col>18</xdr:col>
      <xdr:colOff>367392</xdr:colOff>
      <xdr:row>257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775608</xdr:colOff>
      <xdr:row>38</xdr:row>
      <xdr:rowOff>31294</xdr:rowOff>
    </xdr:from>
    <xdr:to>
      <xdr:col>6</xdr:col>
      <xdr:colOff>344262</xdr:colOff>
      <xdr:row>45</xdr:row>
      <xdr:rowOff>212269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89715" y="9229723"/>
          <a:ext cx="1596118" cy="189547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54429</xdr:colOff>
      <xdr:row>39</xdr:row>
      <xdr:rowOff>95250</xdr:rowOff>
    </xdr:from>
    <xdr:to>
      <xdr:col>8</xdr:col>
      <xdr:colOff>216354</xdr:colOff>
      <xdr:row>44</xdr:row>
      <xdr:rowOff>209550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89322" y="9538607"/>
          <a:ext cx="1100818" cy="1338943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816428</xdr:colOff>
      <xdr:row>46</xdr:row>
      <xdr:rowOff>40821</xdr:rowOff>
    </xdr:from>
    <xdr:to>
      <xdr:col>5</xdr:col>
      <xdr:colOff>959303</xdr:colOff>
      <xdr:row>48</xdr:row>
      <xdr:rowOff>212271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30535" y="11198678"/>
          <a:ext cx="1136197" cy="661307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-1</xdr:colOff>
      <xdr:row>179</xdr:row>
      <xdr:rowOff>0</xdr:rowOff>
    </xdr:from>
    <xdr:to>
      <xdr:col>16</xdr:col>
      <xdr:colOff>625927</xdr:colOff>
      <xdr:row>192</xdr:row>
      <xdr:rowOff>176893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61</xdr:row>
      <xdr:rowOff>0</xdr:rowOff>
    </xdr:from>
    <xdr:to>
      <xdr:col>15</xdr:col>
      <xdr:colOff>136071</xdr:colOff>
      <xdr:row>74</xdr:row>
      <xdr:rowOff>81643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54</xdr:row>
      <xdr:rowOff>-1</xdr:rowOff>
    </xdr:from>
    <xdr:to>
      <xdr:col>16</xdr:col>
      <xdr:colOff>0</xdr:colOff>
      <xdr:row>69</xdr:row>
      <xdr:rowOff>17318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66</xdr:row>
      <xdr:rowOff>0</xdr:rowOff>
    </xdr:from>
    <xdr:to>
      <xdr:col>16</xdr:col>
      <xdr:colOff>190500</xdr:colOff>
      <xdr:row>81</xdr:row>
      <xdr:rowOff>138546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61</xdr:row>
      <xdr:rowOff>1</xdr:rowOff>
    </xdr:from>
    <xdr:to>
      <xdr:col>15</xdr:col>
      <xdr:colOff>258536</xdr:colOff>
      <xdr:row>75</xdr:row>
      <xdr:rowOff>13607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40</xdr:row>
      <xdr:rowOff>204106</xdr:rowOff>
    </xdr:from>
    <xdr:to>
      <xdr:col>16</xdr:col>
      <xdr:colOff>108857</xdr:colOff>
      <xdr:row>55</xdr:row>
      <xdr:rowOff>40821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49</xdr:row>
      <xdr:rowOff>0</xdr:rowOff>
    </xdr:from>
    <xdr:to>
      <xdr:col>16</xdr:col>
      <xdr:colOff>0</xdr:colOff>
      <xdr:row>66</xdr:row>
      <xdr:rowOff>54428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duncan/AppData/Local/Microsoft/Windows/Temporary%20Internet%20Files/Content.MSO/Slat%20Characterization%20Jeren%200613201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otocalls"/>
      <sheetName val="Shipments"/>
      <sheetName val="A"/>
      <sheetName val="B"/>
      <sheetName val="C"/>
      <sheetName val="D"/>
      <sheetName val="E"/>
      <sheetName val="F"/>
      <sheetName val="G"/>
      <sheetName val="H"/>
      <sheetName val="I"/>
      <sheetName val="J"/>
      <sheetName val="K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3"/>
  <sheetViews>
    <sheetView topLeftCell="A10" workbookViewId="0">
      <selection activeCell="I29" sqref="I29"/>
    </sheetView>
  </sheetViews>
  <sheetFormatPr defaultRowHeight="15"/>
  <sheetData>
    <row r="1" spans="1:6">
      <c r="A1" t="s">
        <v>0</v>
      </c>
    </row>
    <row r="2" spans="1:6">
      <c r="A2" t="s">
        <v>1</v>
      </c>
    </row>
    <row r="3" spans="1:6">
      <c r="A3" t="s">
        <v>2</v>
      </c>
    </row>
    <row r="5" spans="1:6">
      <c r="A5" s="1" t="s">
        <v>3</v>
      </c>
      <c r="B5" s="2" t="s">
        <v>4</v>
      </c>
      <c r="F5" s="3" t="s">
        <v>5</v>
      </c>
    </row>
    <row r="6" spans="1:6">
      <c r="A6" s="4" t="s">
        <v>6</v>
      </c>
      <c r="B6" t="s">
        <v>7</v>
      </c>
      <c r="C6" t="s">
        <v>40</v>
      </c>
      <c r="F6" t="s">
        <v>8</v>
      </c>
    </row>
    <row r="7" spans="1:6">
      <c r="A7" s="4" t="s">
        <v>9</v>
      </c>
      <c r="B7" s="5" t="s">
        <v>10</v>
      </c>
      <c r="C7" t="s">
        <v>41</v>
      </c>
    </row>
    <row r="8" spans="1:6">
      <c r="A8" s="4" t="s">
        <v>11</v>
      </c>
      <c r="B8" s="5" t="s">
        <v>12</v>
      </c>
      <c r="C8" t="s">
        <v>42</v>
      </c>
    </row>
    <row r="9" spans="1:6">
      <c r="A9" s="4" t="s">
        <v>13</v>
      </c>
      <c r="B9" s="5" t="s">
        <v>14</v>
      </c>
      <c r="C9" t="s">
        <v>43</v>
      </c>
    </row>
    <row r="10" spans="1:6">
      <c r="A10" s="4" t="s">
        <v>15</v>
      </c>
      <c r="B10" s="5" t="s">
        <v>16</v>
      </c>
      <c r="C10" t="s">
        <v>44</v>
      </c>
    </row>
    <row r="11" spans="1:6">
      <c r="A11" s="4" t="s">
        <v>17</v>
      </c>
      <c r="B11" s="5" t="s">
        <v>18</v>
      </c>
      <c r="C11" t="s">
        <v>45</v>
      </c>
    </row>
    <row r="12" spans="1:6">
      <c r="A12" s="4" t="s">
        <v>19</v>
      </c>
      <c r="B12" s="5" t="s">
        <v>20</v>
      </c>
      <c r="C12" t="s">
        <v>46</v>
      </c>
    </row>
    <row r="13" spans="1:6">
      <c r="A13" s="4" t="s">
        <v>21</v>
      </c>
      <c r="B13" s="5" t="s">
        <v>122</v>
      </c>
      <c r="C13" t="s">
        <v>47</v>
      </c>
    </row>
    <row r="14" spans="1:6">
      <c r="A14" s="4" t="s">
        <v>22</v>
      </c>
      <c r="B14" s="5" t="s">
        <v>23</v>
      </c>
      <c r="C14" t="s">
        <v>48</v>
      </c>
    </row>
    <row r="15" spans="1:6">
      <c r="A15" s="4" t="s">
        <v>24</v>
      </c>
      <c r="B15" s="5" t="s">
        <v>25</v>
      </c>
      <c r="C15" t="s">
        <v>49</v>
      </c>
    </row>
    <row r="16" spans="1:6">
      <c r="A16" s="6" t="s">
        <v>26</v>
      </c>
      <c r="B16" s="5" t="s">
        <v>27</v>
      </c>
      <c r="C16" t="s">
        <v>50</v>
      </c>
    </row>
    <row r="18" spans="1:2">
      <c r="A18" s="3" t="s">
        <v>28</v>
      </c>
    </row>
    <row r="19" spans="1:2">
      <c r="A19" t="s">
        <v>29</v>
      </c>
    </row>
    <row r="20" spans="1:2">
      <c r="A20" t="s">
        <v>30</v>
      </c>
    </row>
    <row r="21" spans="1:2">
      <c r="A21" t="s">
        <v>35</v>
      </c>
    </row>
    <row r="22" spans="1:2">
      <c r="B22" t="s">
        <v>36</v>
      </c>
    </row>
    <row r="23" spans="1:2">
      <c r="A23" t="s">
        <v>34</v>
      </c>
    </row>
    <row r="24" spans="1:2">
      <c r="B24" t="s">
        <v>37</v>
      </c>
    </row>
    <row r="25" spans="1:2">
      <c r="A25" t="s">
        <v>33</v>
      </c>
    </row>
    <row r="26" spans="1:2">
      <c r="A26" t="s">
        <v>32</v>
      </c>
      <c r="B26" t="s">
        <v>38</v>
      </c>
    </row>
    <row r="27" spans="1:2">
      <c r="A27" t="s">
        <v>31</v>
      </c>
      <c r="B27" t="s">
        <v>39</v>
      </c>
    </row>
    <row r="30" spans="1:2">
      <c r="A30" s="3" t="s">
        <v>157</v>
      </c>
    </row>
    <row r="31" spans="1:2">
      <c r="A31" t="s">
        <v>192</v>
      </c>
    </row>
    <row r="32" spans="1:2">
      <c r="A32" t="s">
        <v>193</v>
      </c>
    </row>
    <row r="33" spans="2:2">
      <c r="B33" t="s">
        <v>194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B54"/>
  <sheetViews>
    <sheetView zoomScale="70" zoomScaleNormal="70" workbookViewId="0">
      <selection activeCell="AE22" sqref="AE22"/>
    </sheetView>
  </sheetViews>
  <sheetFormatPr defaultRowHeight="15"/>
  <cols>
    <col min="1" max="1" width="6.28515625" style="57" customWidth="1"/>
    <col min="2" max="2" width="16.140625" style="57" customWidth="1"/>
    <col min="3" max="4" width="5.140625" style="57" customWidth="1"/>
    <col min="5" max="9" width="6.85546875" style="57" customWidth="1"/>
    <col min="10" max="10" width="6.85546875" style="57" bestFit="1" customWidth="1"/>
    <col min="11" max="12" width="6.85546875" style="57" customWidth="1"/>
    <col min="13" max="16" width="3.7109375" style="57" customWidth="1"/>
    <col min="17" max="17" width="5.28515625" style="57" customWidth="1"/>
    <col min="18" max="18" width="4" style="57" customWidth="1"/>
    <col min="19" max="19" width="5.5703125" style="57" customWidth="1"/>
    <col min="20" max="20" width="5.140625" style="57" customWidth="1"/>
    <col min="21" max="21" width="9.85546875" style="57" customWidth="1"/>
    <col min="22" max="16384" width="9.140625" style="57"/>
  </cols>
  <sheetData>
    <row r="1" spans="1:28">
      <c r="A1" s="57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104"/>
      <c r="T1" s="104"/>
      <c r="U1" s="104"/>
    </row>
    <row r="2" spans="1:28">
      <c r="A2" s="57" t="s">
        <v>1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104"/>
      <c r="T2" s="104"/>
      <c r="U2" s="104"/>
    </row>
    <row r="3" spans="1:28">
      <c r="A3" s="57" t="s">
        <v>58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104"/>
      <c r="T3" s="104"/>
      <c r="U3" s="104"/>
    </row>
    <row r="4" spans="1:28"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104"/>
      <c r="T4" s="104"/>
      <c r="U4" s="104"/>
    </row>
    <row r="5" spans="1:28">
      <c r="B5" s="52" t="s">
        <v>112</v>
      </c>
      <c r="C5" s="52" t="s">
        <v>113</v>
      </c>
      <c r="D5" s="52"/>
      <c r="E5" s="52"/>
      <c r="F5" s="52"/>
      <c r="G5" s="52"/>
      <c r="H5" s="52"/>
      <c r="I5" s="52"/>
      <c r="J5" s="52"/>
      <c r="K5" s="52"/>
      <c r="L5" s="52"/>
      <c r="M5" s="52"/>
      <c r="N5" s="52">
        <f>54-38+1</f>
        <v>17</v>
      </c>
      <c r="O5" s="52"/>
      <c r="P5" s="52"/>
      <c r="Q5" s="52"/>
      <c r="R5" s="52"/>
      <c r="S5" s="104"/>
      <c r="T5" s="104"/>
      <c r="U5" s="104"/>
    </row>
    <row r="6" spans="1:28">
      <c r="A6" s="57" t="s">
        <v>77</v>
      </c>
      <c r="B6" s="52">
        <v>3.5000000000000003E-2</v>
      </c>
      <c r="C6" s="52">
        <v>0.88900000000000001</v>
      </c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104"/>
      <c r="T6" s="104"/>
      <c r="U6" s="104"/>
    </row>
    <row r="7" spans="1:28"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04"/>
      <c r="T7" s="104"/>
      <c r="U7" s="104"/>
    </row>
    <row r="8" spans="1:28">
      <c r="A8" s="57" t="s">
        <v>115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104"/>
      <c r="T8" s="104"/>
      <c r="U8" s="104"/>
      <c r="W8" s="100" t="s">
        <v>157</v>
      </c>
      <c r="Z8" s="100"/>
    </row>
    <row r="9" spans="1:28" ht="45">
      <c r="A9" s="111" t="s">
        <v>216</v>
      </c>
      <c r="B9" s="128" t="s">
        <v>60</v>
      </c>
      <c r="C9" s="767" t="s">
        <v>61</v>
      </c>
      <c r="D9" s="768"/>
      <c r="E9" s="766" t="s">
        <v>62</v>
      </c>
      <c r="F9" s="766"/>
      <c r="G9" s="766"/>
      <c r="H9" s="766"/>
      <c r="I9" s="766"/>
      <c r="J9" s="129"/>
      <c r="K9" s="767" t="s">
        <v>63</v>
      </c>
      <c r="L9" s="768"/>
      <c r="M9" s="767" t="s">
        <v>64</v>
      </c>
      <c r="N9" s="765"/>
      <c r="O9" s="765"/>
      <c r="P9" s="765"/>
      <c r="Q9" s="765"/>
      <c r="R9" s="130" t="s">
        <v>91</v>
      </c>
      <c r="S9" s="39" t="s">
        <v>220</v>
      </c>
      <c r="T9" s="228" t="s">
        <v>221</v>
      </c>
      <c r="U9" s="152" t="s">
        <v>101</v>
      </c>
      <c r="W9" s="152" t="s">
        <v>216</v>
      </c>
      <c r="X9" s="46" t="s">
        <v>631</v>
      </c>
      <c r="Y9" s="133" t="s">
        <v>123</v>
      </c>
      <c r="Z9" s="134" t="s">
        <v>155</v>
      </c>
      <c r="AA9" s="152" t="s">
        <v>196</v>
      </c>
      <c r="AB9" s="252" t="s">
        <v>223</v>
      </c>
    </row>
    <row r="10" spans="1:28">
      <c r="A10" s="97"/>
      <c r="B10" s="255"/>
      <c r="C10" s="256">
        <v>1</v>
      </c>
      <c r="D10" s="255">
        <v>2</v>
      </c>
      <c r="E10" s="256">
        <v>1</v>
      </c>
      <c r="F10" s="199">
        <v>2</v>
      </c>
      <c r="G10" s="199">
        <v>3</v>
      </c>
      <c r="H10" s="199">
        <v>4</v>
      </c>
      <c r="I10" s="199">
        <v>5</v>
      </c>
      <c r="J10" s="255">
        <v>6</v>
      </c>
      <c r="K10" s="256">
        <v>1</v>
      </c>
      <c r="L10" s="255">
        <v>2</v>
      </c>
      <c r="M10" s="256">
        <v>1</v>
      </c>
      <c r="N10" s="199">
        <v>2</v>
      </c>
      <c r="O10" s="199">
        <v>3</v>
      </c>
      <c r="P10" s="199">
        <v>4</v>
      </c>
      <c r="Q10" s="199" t="s">
        <v>90</v>
      </c>
      <c r="R10" s="255"/>
      <c r="S10" s="262"/>
      <c r="T10" s="263"/>
      <c r="U10" s="143"/>
      <c r="W10" s="143"/>
      <c r="X10" s="143"/>
      <c r="Y10" s="142"/>
      <c r="Z10" s="138"/>
      <c r="AA10" s="138"/>
      <c r="AB10" s="140"/>
    </row>
    <row r="11" spans="1:28">
      <c r="A11" s="66"/>
      <c r="B11" s="140"/>
      <c r="C11" s="139"/>
      <c r="D11" s="140"/>
      <c r="E11" s="139"/>
      <c r="F11" s="66"/>
      <c r="G11" s="66"/>
      <c r="H11" s="66"/>
      <c r="I11" s="66"/>
      <c r="J11" s="140"/>
      <c r="K11" s="139"/>
      <c r="L11" s="140"/>
      <c r="M11" s="139"/>
      <c r="N11" s="66"/>
      <c r="O11" s="66"/>
      <c r="P11" s="66"/>
      <c r="Q11" s="66"/>
      <c r="R11" s="140"/>
      <c r="S11" s="139"/>
      <c r="T11" s="140"/>
      <c r="U11" s="143"/>
      <c r="W11" s="143"/>
      <c r="X11" s="143"/>
      <c r="Y11" s="143"/>
      <c r="Z11" s="143"/>
      <c r="AA11" s="143"/>
      <c r="AB11" s="140"/>
    </row>
    <row r="12" spans="1:28">
      <c r="A12" s="66">
        <v>38</v>
      </c>
      <c r="B12" s="140"/>
      <c r="C12" s="257">
        <v>103</v>
      </c>
      <c r="D12" s="54">
        <v>102</v>
      </c>
      <c r="E12" s="235">
        <v>0.91</v>
      </c>
      <c r="F12" s="107">
        <v>0.9</v>
      </c>
      <c r="G12" s="107">
        <v>0.91</v>
      </c>
      <c r="H12" s="107">
        <v>0.91</v>
      </c>
      <c r="I12" s="107"/>
      <c r="J12" s="260"/>
      <c r="K12" s="72">
        <v>25.98</v>
      </c>
      <c r="L12" s="73">
        <v>25.99</v>
      </c>
      <c r="M12" s="277"/>
      <c r="N12" s="180"/>
      <c r="O12" s="180"/>
      <c r="P12" s="178"/>
      <c r="Q12" s="66"/>
      <c r="R12" s="274" t="s">
        <v>93</v>
      </c>
      <c r="S12" s="145">
        <v>32.9</v>
      </c>
      <c r="T12" s="64">
        <v>13.611396265639481</v>
      </c>
      <c r="U12" s="143">
        <v>3</v>
      </c>
      <c r="W12" s="143">
        <v>38</v>
      </c>
      <c r="X12" s="249">
        <f>MAX(E12:H12)-MIN(E12:H12)</f>
        <v>1.0000000000000009E-2</v>
      </c>
      <c r="Y12" s="143">
        <v>0</v>
      </c>
      <c r="Z12" s="143">
        <f>IF(OR(K12&gt;Cuts!$B$16, L12&gt;Cuts!B$16), 1,0)</f>
        <v>0</v>
      </c>
      <c r="AA12" s="246">
        <f>IF(OR(C12&gt;Cuts!$D$16, D12&gt;Cuts!$D$16),1,0)</f>
        <v>0</v>
      </c>
      <c r="AB12" s="140">
        <f>IF(OR(M12="Y",N12="Y",O12="Y",P12="Y"),1,0)</f>
        <v>0</v>
      </c>
    </row>
    <row r="13" spans="1:28">
      <c r="A13" s="66">
        <v>39</v>
      </c>
      <c r="B13" s="140"/>
      <c r="C13" s="257">
        <v>103</v>
      </c>
      <c r="D13" s="54">
        <v>103</v>
      </c>
      <c r="E13" s="235">
        <v>0.91</v>
      </c>
      <c r="F13" s="107">
        <v>0.91</v>
      </c>
      <c r="G13" s="107">
        <v>0.9</v>
      </c>
      <c r="H13" s="107">
        <v>0.9</v>
      </c>
      <c r="I13" s="107"/>
      <c r="J13" s="260"/>
      <c r="K13" s="72">
        <v>25.93</v>
      </c>
      <c r="L13" s="73">
        <v>25.79</v>
      </c>
      <c r="M13" s="277"/>
      <c r="N13" s="180"/>
      <c r="O13" s="180"/>
      <c r="P13" s="178"/>
      <c r="Q13" s="66"/>
      <c r="R13" s="274" t="s">
        <v>93</v>
      </c>
      <c r="S13" s="145">
        <v>32.4</v>
      </c>
      <c r="T13" s="64">
        <v>13.440972290066634</v>
      </c>
      <c r="U13" s="143">
        <v>3</v>
      </c>
      <c r="W13" s="143">
        <v>39</v>
      </c>
      <c r="X13" s="249">
        <f t="shared" ref="X13:X28" si="0">MAX(E13:H13)-MIN(E13:H13)</f>
        <v>1.0000000000000009E-2</v>
      </c>
      <c r="Y13" s="143">
        <v>0</v>
      </c>
      <c r="Z13" s="143">
        <f>IF(OR(K13&gt;Cuts!$B$16, L13&gt;Cuts!B$16), 1,0)</f>
        <v>0</v>
      </c>
      <c r="AA13" s="246">
        <f>IF(OR(C13&gt;Cuts!$D$16, D13&gt;Cuts!$D$16),1,0)</f>
        <v>0</v>
      </c>
      <c r="AB13" s="140">
        <f t="shared" ref="AB13:AB28" si="1">IF(OR(M13="Y",N13="Y",O13="Y",P13="Y"),1,0)</f>
        <v>0</v>
      </c>
    </row>
    <row r="14" spans="1:28">
      <c r="A14" s="66">
        <v>40</v>
      </c>
      <c r="B14" s="140"/>
      <c r="C14" s="257">
        <v>103</v>
      </c>
      <c r="D14" s="54">
        <v>103</v>
      </c>
      <c r="E14" s="235">
        <v>0.88</v>
      </c>
      <c r="F14" s="107">
        <v>0.88</v>
      </c>
      <c r="G14" s="107">
        <v>0.88</v>
      </c>
      <c r="H14" s="107">
        <v>0.88</v>
      </c>
      <c r="I14" s="107"/>
      <c r="J14" s="260"/>
      <c r="K14" s="72">
        <v>25.83</v>
      </c>
      <c r="L14" s="73">
        <v>25.99</v>
      </c>
      <c r="M14" s="277"/>
      <c r="N14" s="180"/>
      <c r="O14" s="180"/>
      <c r="P14" s="178"/>
      <c r="Q14" s="66"/>
      <c r="R14" s="274" t="s">
        <v>94</v>
      </c>
      <c r="S14" s="145">
        <v>31.5</v>
      </c>
      <c r="T14" s="64">
        <v>13.41291720985433</v>
      </c>
      <c r="U14" s="143">
        <v>3</v>
      </c>
      <c r="W14" s="143">
        <v>40</v>
      </c>
      <c r="X14" s="249">
        <f t="shared" si="0"/>
        <v>0</v>
      </c>
      <c r="Y14" s="143">
        <v>0</v>
      </c>
      <c r="Z14" s="143">
        <f>IF(OR(K14&gt;Cuts!$B$16, L14&gt;Cuts!B$16), 1,0)</f>
        <v>0</v>
      </c>
      <c r="AA14" s="246">
        <f>IF(OR(C14&gt;Cuts!$D$16, D14&gt;Cuts!$D$16),1,0)</f>
        <v>0</v>
      </c>
      <c r="AB14" s="140">
        <f t="shared" si="1"/>
        <v>0</v>
      </c>
    </row>
    <row r="15" spans="1:28">
      <c r="A15" s="66">
        <v>41</v>
      </c>
      <c r="B15" s="140"/>
      <c r="C15" s="257">
        <v>103</v>
      </c>
      <c r="D15" s="54">
        <v>103</v>
      </c>
      <c r="E15" s="235">
        <v>0.88</v>
      </c>
      <c r="F15" s="107">
        <v>0.88</v>
      </c>
      <c r="G15" s="107">
        <v>0.88</v>
      </c>
      <c r="H15" s="107">
        <v>0.88</v>
      </c>
      <c r="I15" s="107"/>
      <c r="J15" s="260"/>
      <c r="K15" s="72">
        <v>25.96</v>
      </c>
      <c r="L15" s="73">
        <v>25.77</v>
      </c>
      <c r="M15" s="277"/>
      <c r="N15" s="180"/>
      <c r="O15" s="180"/>
      <c r="P15" s="178"/>
      <c r="Q15" s="66"/>
      <c r="R15" s="274" t="s">
        <v>94</v>
      </c>
      <c r="S15" s="145">
        <v>31.6</v>
      </c>
      <c r="T15" s="64">
        <v>13.478907812630897</v>
      </c>
      <c r="U15" s="143">
        <v>3</v>
      </c>
      <c r="W15" s="143">
        <v>41</v>
      </c>
      <c r="X15" s="249">
        <f t="shared" si="0"/>
        <v>0</v>
      </c>
      <c r="Y15" s="143">
        <v>0</v>
      </c>
      <c r="Z15" s="143">
        <f>IF(OR(K15&gt;Cuts!$B$16, L15&gt;Cuts!B$16), 1,0)</f>
        <v>0</v>
      </c>
      <c r="AA15" s="246">
        <f>IF(OR(C15&gt;Cuts!$D$16, D15&gt;Cuts!$D$16),1,0)</f>
        <v>0</v>
      </c>
      <c r="AB15" s="140">
        <f t="shared" si="1"/>
        <v>0</v>
      </c>
    </row>
    <row r="16" spans="1:28">
      <c r="A16" s="66">
        <v>42</v>
      </c>
      <c r="B16" s="140"/>
      <c r="C16" s="257">
        <v>103</v>
      </c>
      <c r="D16" s="54">
        <v>103</v>
      </c>
      <c r="E16" s="235">
        <v>0.9</v>
      </c>
      <c r="F16" s="107">
        <v>0.91</v>
      </c>
      <c r="G16" s="107">
        <v>0.9</v>
      </c>
      <c r="H16" s="107">
        <v>0.9</v>
      </c>
      <c r="I16" s="107"/>
      <c r="J16" s="260"/>
      <c r="K16" s="72">
        <v>25.91</v>
      </c>
      <c r="L16" s="73">
        <v>26</v>
      </c>
      <c r="M16" s="277"/>
      <c r="N16" s="180"/>
      <c r="O16" s="180"/>
      <c r="P16" s="178"/>
      <c r="Q16" s="66"/>
      <c r="R16" s="274" t="s">
        <v>93</v>
      </c>
      <c r="S16" s="145">
        <v>32.700000000000003</v>
      </c>
      <c r="T16" s="64">
        <v>13.553213639218521</v>
      </c>
      <c r="U16" s="143">
        <v>3</v>
      </c>
      <c r="W16" s="143">
        <v>42</v>
      </c>
      <c r="X16" s="249">
        <f t="shared" si="0"/>
        <v>1.0000000000000009E-2</v>
      </c>
      <c r="Y16" s="143">
        <v>0</v>
      </c>
      <c r="Z16" s="143">
        <f>IF(OR(K16&gt;Cuts!$B$16, L16&gt;Cuts!B$16), 1,0)</f>
        <v>0</v>
      </c>
      <c r="AA16" s="246">
        <f>IF(OR(C16&gt;Cuts!$D$16, D16&gt;Cuts!$D$16),1,0)</f>
        <v>0</v>
      </c>
      <c r="AB16" s="140">
        <f t="shared" si="1"/>
        <v>0</v>
      </c>
    </row>
    <row r="17" spans="1:28">
      <c r="A17" s="66">
        <v>43</v>
      </c>
      <c r="B17" s="140"/>
      <c r="C17" s="257">
        <v>103</v>
      </c>
      <c r="D17" s="54">
        <v>103</v>
      </c>
      <c r="E17" s="235">
        <v>0.88</v>
      </c>
      <c r="F17" s="107">
        <v>0.87</v>
      </c>
      <c r="G17" s="107">
        <v>0.88</v>
      </c>
      <c r="H17" s="107">
        <v>0.87</v>
      </c>
      <c r="I17" s="107"/>
      <c r="J17" s="260"/>
      <c r="K17" s="72">
        <v>25.99</v>
      </c>
      <c r="L17" s="73">
        <v>26.01</v>
      </c>
      <c r="M17" s="277"/>
      <c r="N17" s="180"/>
      <c r="O17" s="180"/>
      <c r="P17" s="178"/>
      <c r="Q17" s="66"/>
      <c r="R17" s="276"/>
      <c r="S17" s="145">
        <v>31.5</v>
      </c>
      <c r="T17" s="64">
        <v>13.442867811799852</v>
      </c>
      <c r="U17" s="143">
        <v>3</v>
      </c>
      <c r="W17" s="143">
        <v>43</v>
      </c>
      <c r="X17" s="249">
        <f t="shared" si="0"/>
        <v>1.0000000000000009E-2</v>
      </c>
      <c r="Y17" s="143">
        <v>0</v>
      </c>
      <c r="Z17" s="143">
        <f>IF(OR(K17&gt;Cuts!$B$16, L17&gt;Cuts!B$16), 1,0)</f>
        <v>0</v>
      </c>
      <c r="AA17" s="246">
        <f>IF(OR(C17&gt;Cuts!$D$16, D17&gt;Cuts!$D$16),1,0)</f>
        <v>0</v>
      </c>
      <c r="AB17" s="140">
        <f t="shared" si="1"/>
        <v>0</v>
      </c>
    </row>
    <row r="18" spans="1:28">
      <c r="A18" s="66">
        <v>44</v>
      </c>
      <c r="B18" s="140"/>
      <c r="C18" s="257">
        <v>103</v>
      </c>
      <c r="D18" s="54">
        <v>103</v>
      </c>
      <c r="E18" s="235">
        <v>0.86</v>
      </c>
      <c r="F18" s="107">
        <v>0.87</v>
      </c>
      <c r="G18" s="107">
        <v>0.86</v>
      </c>
      <c r="H18" s="107">
        <v>0.87</v>
      </c>
      <c r="I18" s="107"/>
      <c r="J18" s="260"/>
      <c r="K18" s="72">
        <v>26.11</v>
      </c>
      <c r="L18" s="73">
        <v>25.86</v>
      </c>
      <c r="M18" s="277" t="s">
        <v>89</v>
      </c>
      <c r="N18" s="180"/>
      <c r="O18" s="180"/>
      <c r="P18" s="178"/>
      <c r="Q18" s="66"/>
      <c r="R18" s="274" t="s">
        <v>93</v>
      </c>
      <c r="S18" s="145">
        <v>31.1</v>
      </c>
      <c r="T18" s="64">
        <v>13.433350168575048</v>
      </c>
      <c r="U18" s="143">
        <v>3</v>
      </c>
      <c r="W18" s="143">
        <v>44</v>
      </c>
      <c r="X18" s="249">
        <f t="shared" si="0"/>
        <v>1.0000000000000009E-2</v>
      </c>
      <c r="Y18" s="143">
        <v>0</v>
      </c>
      <c r="Z18" s="143">
        <f>IF(OR(K18&gt;Cuts!$B$16, L18&gt;Cuts!B$16), 1,0)</f>
        <v>0</v>
      </c>
      <c r="AA18" s="246">
        <f>IF(OR(C18&gt;Cuts!$D$16, D18&gt;Cuts!$D$16),1,0)</f>
        <v>0</v>
      </c>
      <c r="AB18" s="140">
        <f t="shared" si="1"/>
        <v>0</v>
      </c>
    </row>
    <row r="19" spans="1:28">
      <c r="A19" s="66">
        <v>45</v>
      </c>
      <c r="B19" s="140"/>
      <c r="C19" s="257">
        <v>102</v>
      </c>
      <c r="D19" s="54">
        <v>102</v>
      </c>
      <c r="E19" s="235">
        <v>0.88</v>
      </c>
      <c r="F19" s="107">
        <v>0.87</v>
      </c>
      <c r="G19" s="107">
        <v>0.88</v>
      </c>
      <c r="H19" s="107">
        <v>0.88</v>
      </c>
      <c r="I19" s="107"/>
      <c r="J19" s="260"/>
      <c r="K19" s="72">
        <v>25.99</v>
      </c>
      <c r="L19" s="73">
        <v>25.82</v>
      </c>
      <c r="M19" s="277"/>
      <c r="N19" s="180"/>
      <c r="O19" s="180"/>
      <c r="P19" s="178"/>
      <c r="Q19" s="66"/>
      <c r="R19" s="274" t="s">
        <v>93</v>
      </c>
      <c r="S19" s="145">
        <v>31.3</v>
      </c>
      <c r="T19" s="64">
        <v>13.499368230645032</v>
      </c>
      <c r="U19" s="143">
        <v>3</v>
      </c>
      <c r="W19" s="143">
        <v>45</v>
      </c>
      <c r="X19" s="249">
        <f t="shared" si="0"/>
        <v>1.0000000000000009E-2</v>
      </c>
      <c r="Y19" s="143">
        <v>0</v>
      </c>
      <c r="Z19" s="143">
        <f>IF(OR(K19&gt;Cuts!$B$16, L19&gt;Cuts!B$16), 1,0)</f>
        <v>0</v>
      </c>
      <c r="AA19" s="246">
        <f>IF(OR(C19&gt;Cuts!$D$16, D19&gt;Cuts!$D$16),1,0)</f>
        <v>0</v>
      </c>
      <c r="AB19" s="140">
        <f t="shared" si="1"/>
        <v>0</v>
      </c>
    </row>
    <row r="20" spans="1:28">
      <c r="A20" s="66">
        <v>46</v>
      </c>
      <c r="B20" s="140"/>
      <c r="C20" s="257">
        <v>103</v>
      </c>
      <c r="D20" s="54">
        <v>103</v>
      </c>
      <c r="E20" s="235">
        <v>0.88</v>
      </c>
      <c r="F20" s="107">
        <v>0.88</v>
      </c>
      <c r="G20" s="107">
        <v>0.88</v>
      </c>
      <c r="H20" s="107">
        <v>0.88</v>
      </c>
      <c r="I20" s="107"/>
      <c r="J20" s="260"/>
      <c r="K20" s="72">
        <v>25.76</v>
      </c>
      <c r="L20" s="73">
        <v>25.96</v>
      </c>
      <c r="M20" s="277"/>
      <c r="N20" s="180"/>
      <c r="O20" s="180"/>
      <c r="P20" s="178"/>
      <c r="Q20" s="66"/>
      <c r="R20" s="274" t="s">
        <v>93</v>
      </c>
      <c r="S20" s="145">
        <v>31.5</v>
      </c>
      <c r="T20" s="64">
        <v>13.43885092449055</v>
      </c>
      <c r="U20" s="143">
        <v>3</v>
      </c>
      <c r="W20" s="143">
        <v>46</v>
      </c>
      <c r="X20" s="249">
        <f t="shared" si="0"/>
        <v>0</v>
      </c>
      <c r="Y20" s="143">
        <v>0</v>
      </c>
      <c r="Z20" s="143">
        <f>IF(OR(K20&gt;Cuts!$B$16, L20&gt;Cuts!B$16), 1,0)</f>
        <v>0</v>
      </c>
      <c r="AA20" s="246">
        <f>IF(OR(C20&gt;Cuts!$D$16, D20&gt;Cuts!$D$16),1,0)</f>
        <v>0</v>
      </c>
      <c r="AB20" s="140">
        <f t="shared" si="1"/>
        <v>0</v>
      </c>
    </row>
    <row r="21" spans="1:28">
      <c r="A21" s="171">
        <v>47</v>
      </c>
      <c r="B21" s="140"/>
      <c r="C21" s="257">
        <v>103</v>
      </c>
      <c r="D21" s="54">
        <v>103</v>
      </c>
      <c r="E21" s="235">
        <v>0.87</v>
      </c>
      <c r="F21" s="107">
        <v>0.85</v>
      </c>
      <c r="G21" s="107">
        <v>0.87</v>
      </c>
      <c r="H21" s="107">
        <v>0.86</v>
      </c>
      <c r="I21" s="107"/>
      <c r="J21" s="260"/>
      <c r="K21" s="72">
        <v>25.99</v>
      </c>
      <c r="L21" s="73">
        <v>25.85</v>
      </c>
      <c r="M21" s="277"/>
      <c r="N21" s="180"/>
      <c r="O21" s="180"/>
      <c r="P21" s="178"/>
      <c r="Q21" s="66"/>
      <c r="R21" s="276"/>
      <c r="S21" s="145">
        <v>31</v>
      </c>
      <c r="T21" s="64">
        <v>13.462644202290559</v>
      </c>
      <c r="U21" s="143">
        <v>3</v>
      </c>
      <c r="W21" s="265">
        <v>47</v>
      </c>
      <c r="X21" s="249">
        <f t="shared" si="0"/>
        <v>2.0000000000000018E-2</v>
      </c>
      <c r="Y21" s="143">
        <v>0</v>
      </c>
      <c r="Z21" s="143">
        <f>IF(OR(K21&gt;Cuts!$B$16, L21&gt;Cuts!B$16), 1,0)</f>
        <v>0</v>
      </c>
      <c r="AA21" s="246">
        <f>IF(OR(C21&gt;Cuts!$D$16, D21&gt;Cuts!$D$16),1,0)</f>
        <v>0</v>
      </c>
      <c r="AB21" s="140">
        <f t="shared" si="1"/>
        <v>0</v>
      </c>
    </row>
    <row r="22" spans="1:28">
      <c r="A22" s="66">
        <v>48</v>
      </c>
      <c r="B22" s="140"/>
      <c r="C22" s="257">
        <v>103</v>
      </c>
      <c r="D22" s="54">
        <v>102</v>
      </c>
      <c r="E22" s="235">
        <v>0.89</v>
      </c>
      <c r="F22" s="107">
        <v>0.89</v>
      </c>
      <c r="G22" s="107">
        <v>0.89</v>
      </c>
      <c r="H22" s="107">
        <v>0.89</v>
      </c>
      <c r="I22" s="107"/>
      <c r="J22" s="260"/>
      <c r="K22" s="72">
        <v>25.92</v>
      </c>
      <c r="L22" s="73">
        <v>25.95</v>
      </c>
      <c r="M22" s="277"/>
      <c r="N22" s="180"/>
      <c r="O22" s="180"/>
      <c r="P22" s="178"/>
      <c r="Q22" s="66"/>
      <c r="R22" s="276"/>
      <c r="S22" s="145">
        <v>32.5</v>
      </c>
      <c r="T22" s="64">
        <v>13.736726029928203</v>
      </c>
      <c r="U22" s="143">
        <v>3</v>
      </c>
      <c r="W22" s="143">
        <v>48</v>
      </c>
      <c r="X22" s="249">
        <f t="shared" si="0"/>
        <v>0</v>
      </c>
      <c r="Y22" s="143">
        <v>0</v>
      </c>
      <c r="Z22" s="143">
        <f>IF(OR(K22&gt;Cuts!$B$16, L22&gt;Cuts!B$16), 1,0)</f>
        <v>0</v>
      </c>
      <c r="AA22" s="246">
        <f>IF(OR(C22&gt;Cuts!$D$16, D22&gt;Cuts!$D$16),1,0)</f>
        <v>0</v>
      </c>
      <c r="AB22" s="140">
        <f t="shared" si="1"/>
        <v>0</v>
      </c>
    </row>
    <row r="23" spans="1:28">
      <c r="A23" s="66">
        <v>49</v>
      </c>
      <c r="B23" s="140"/>
      <c r="C23" s="257">
        <v>103</v>
      </c>
      <c r="D23" s="54">
        <v>103</v>
      </c>
      <c r="E23" s="235">
        <v>0.89</v>
      </c>
      <c r="F23" s="107">
        <v>0.88</v>
      </c>
      <c r="G23" s="107">
        <v>0.89</v>
      </c>
      <c r="H23" s="107">
        <v>0.88</v>
      </c>
      <c r="I23" s="107"/>
      <c r="J23" s="260"/>
      <c r="K23" s="72">
        <v>25.81</v>
      </c>
      <c r="L23" s="73">
        <v>25.94</v>
      </c>
      <c r="M23" s="277"/>
      <c r="N23" s="180"/>
      <c r="O23" s="180"/>
      <c r="P23" s="178"/>
      <c r="Q23" s="66"/>
      <c r="R23" s="276"/>
      <c r="S23" s="145">
        <v>32</v>
      </c>
      <c r="T23" s="64">
        <v>13.567165551482757</v>
      </c>
      <c r="U23" s="143">
        <v>3</v>
      </c>
      <c r="W23" s="143">
        <v>49</v>
      </c>
      <c r="X23" s="249">
        <f t="shared" si="0"/>
        <v>1.0000000000000009E-2</v>
      </c>
      <c r="Y23" s="143">
        <v>0</v>
      </c>
      <c r="Z23" s="143">
        <f>IF(OR(K23&gt;Cuts!$B$16, L23&gt;Cuts!B$16), 1,0)</f>
        <v>0</v>
      </c>
      <c r="AA23" s="246">
        <f>IF(OR(C23&gt;Cuts!$D$16, D23&gt;Cuts!$D$16),1,0)</f>
        <v>0</v>
      </c>
      <c r="AB23" s="140">
        <f t="shared" si="1"/>
        <v>0</v>
      </c>
    </row>
    <row r="24" spans="1:28">
      <c r="A24" s="171">
        <v>50</v>
      </c>
      <c r="B24" s="140"/>
      <c r="C24" s="257">
        <v>103</v>
      </c>
      <c r="D24" s="54">
        <v>103</v>
      </c>
      <c r="E24" s="235">
        <v>0.9</v>
      </c>
      <c r="F24" s="107">
        <v>0.88</v>
      </c>
      <c r="G24" s="107">
        <v>0.9</v>
      </c>
      <c r="H24" s="107">
        <v>0.88</v>
      </c>
      <c r="I24" s="107"/>
      <c r="J24" s="260"/>
      <c r="K24" s="72">
        <v>25.89</v>
      </c>
      <c r="L24" s="73">
        <v>29.03</v>
      </c>
      <c r="M24" s="277"/>
      <c r="N24" s="180"/>
      <c r="O24" s="180"/>
      <c r="P24" s="178"/>
      <c r="Q24" s="66"/>
      <c r="R24" s="276"/>
      <c r="S24" s="145">
        <v>32.299999999999997</v>
      </c>
      <c r="T24" s="64">
        <v>12.831421107298407</v>
      </c>
      <c r="U24" s="143">
        <v>3</v>
      </c>
      <c r="W24" s="265">
        <v>50</v>
      </c>
      <c r="X24" s="249">
        <f t="shared" si="0"/>
        <v>2.0000000000000018E-2</v>
      </c>
      <c r="Y24" s="143">
        <v>0</v>
      </c>
      <c r="Z24" s="143">
        <f>IF(OR(K24&gt;Cuts!$B$16, L24&gt;Cuts!B$16), 1,0)</f>
        <v>1</v>
      </c>
      <c r="AA24" s="246">
        <f>IF(OR(C24&gt;Cuts!$D$16, D24&gt;Cuts!$D$16),1,0)</f>
        <v>0</v>
      </c>
      <c r="AB24" s="140">
        <f t="shared" si="1"/>
        <v>0</v>
      </c>
    </row>
    <row r="25" spans="1:28">
      <c r="A25" s="171">
        <v>51</v>
      </c>
      <c r="B25" s="140"/>
      <c r="C25" s="257">
        <v>103</v>
      </c>
      <c r="D25" s="54">
        <v>103</v>
      </c>
      <c r="E25" s="235">
        <v>0.88</v>
      </c>
      <c r="F25" s="107">
        <v>0.86</v>
      </c>
      <c r="G25" s="107">
        <v>0.88</v>
      </c>
      <c r="H25" s="107">
        <v>0.86</v>
      </c>
      <c r="I25" s="107"/>
      <c r="J25" s="260"/>
      <c r="K25" s="72">
        <v>25.95</v>
      </c>
      <c r="L25" s="73">
        <v>26.01</v>
      </c>
      <c r="M25" s="277"/>
      <c r="N25" s="180"/>
      <c r="O25" s="180"/>
      <c r="P25" s="178"/>
      <c r="Q25" s="66"/>
      <c r="R25" s="276"/>
      <c r="S25" s="145">
        <v>31.8</v>
      </c>
      <c r="T25" s="64">
        <v>13.659396002126742</v>
      </c>
      <c r="U25" s="143">
        <v>3</v>
      </c>
      <c r="W25" s="265">
        <v>51</v>
      </c>
      <c r="X25" s="249">
        <f t="shared" si="0"/>
        <v>2.0000000000000018E-2</v>
      </c>
      <c r="Y25" s="143">
        <v>0</v>
      </c>
      <c r="Z25" s="143">
        <f>IF(OR(K25&gt;Cuts!$B$16, L25&gt;Cuts!B$16), 1,0)</f>
        <v>0</v>
      </c>
      <c r="AA25" s="246">
        <f>IF(OR(C25&gt;Cuts!$D$16, D25&gt;Cuts!$D$16),1,0)</f>
        <v>0</v>
      </c>
      <c r="AB25" s="140">
        <f t="shared" si="1"/>
        <v>0</v>
      </c>
    </row>
    <row r="26" spans="1:28">
      <c r="A26" s="66">
        <v>52</v>
      </c>
      <c r="B26" s="140" t="s">
        <v>81</v>
      </c>
      <c r="C26" s="257">
        <v>103</v>
      </c>
      <c r="D26" s="54">
        <v>103</v>
      </c>
      <c r="E26" s="235">
        <v>0.88</v>
      </c>
      <c r="F26" s="107">
        <v>0.89</v>
      </c>
      <c r="G26" s="107">
        <v>0.88</v>
      </c>
      <c r="H26" s="107">
        <v>0.89</v>
      </c>
      <c r="I26" s="107"/>
      <c r="J26" s="260"/>
      <c r="K26" s="72">
        <v>25.9</v>
      </c>
      <c r="L26" s="73">
        <v>25.99</v>
      </c>
      <c r="M26" s="277"/>
      <c r="N26" s="180"/>
      <c r="O26" s="180"/>
      <c r="P26" s="178"/>
      <c r="Q26" s="66"/>
      <c r="R26" s="276"/>
      <c r="S26" s="145">
        <v>32.299999999999997</v>
      </c>
      <c r="T26" s="64">
        <v>13.657410145525517</v>
      </c>
      <c r="U26" s="143">
        <v>3</v>
      </c>
      <c r="W26" s="143">
        <v>52</v>
      </c>
      <c r="X26" s="249">
        <f t="shared" si="0"/>
        <v>1.0000000000000009E-2</v>
      </c>
      <c r="Y26" s="143">
        <v>0</v>
      </c>
      <c r="Z26" s="143">
        <f>IF(OR(K26&gt;Cuts!$B$16, L26&gt;Cuts!B$16), 1,0)</f>
        <v>0</v>
      </c>
      <c r="AA26" s="246">
        <f>IF(OR(C26&gt;Cuts!$D$16, D26&gt;Cuts!$D$16),1,0)</f>
        <v>0</v>
      </c>
      <c r="AB26" s="140">
        <f t="shared" si="1"/>
        <v>0</v>
      </c>
    </row>
    <row r="27" spans="1:28">
      <c r="A27" s="66">
        <v>53</v>
      </c>
      <c r="B27" s="140"/>
      <c r="C27" s="257">
        <v>103</v>
      </c>
      <c r="D27" s="54">
        <v>103</v>
      </c>
      <c r="E27" s="235">
        <v>0.87</v>
      </c>
      <c r="F27" s="107">
        <v>0.86</v>
      </c>
      <c r="G27" s="107">
        <v>0.87</v>
      </c>
      <c r="H27" s="107">
        <v>0.86</v>
      </c>
      <c r="I27" s="107"/>
      <c r="J27" s="260"/>
      <c r="K27" s="72">
        <v>26.02</v>
      </c>
      <c r="L27" s="73">
        <v>25.98</v>
      </c>
      <c r="M27" s="277"/>
      <c r="N27" s="180"/>
      <c r="O27" s="180"/>
      <c r="P27" s="178"/>
      <c r="Q27" s="66"/>
      <c r="R27" s="276"/>
      <c r="S27" s="145">
        <v>31.4</v>
      </c>
      <c r="T27" s="64">
        <v>13.555107555893235</v>
      </c>
      <c r="U27" s="143">
        <v>3</v>
      </c>
      <c r="W27" s="143">
        <v>53</v>
      </c>
      <c r="X27" s="249">
        <f t="shared" si="0"/>
        <v>1.0000000000000009E-2</v>
      </c>
      <c r="Y27" s="143">
        <v>0</v>
      </c>
      <c r="Z27" s="143">
        <f>IF(OR(K27&gt;Cuts!$B$16, L27&gt;Cuts!B$16), 1,0)</f>
        <v>0</v>
      </c>
      <c r="AA27" s="246">
        <f>IF(OR(C27&gt;Cuts!$D$16, D27&gt;Cuts!$D$16),1,0)</f>
        <v>0</v>
      </c>
      <c r="AB27" s="140">
        <f t="shared" si="1"/>
        <v>0</v>
      </c>
    </row>
    <row r="28" spans="1:28" s="111" customFormat="1">
      <c r="A28" s="111">
        <v>54</v>
      </c>
      <c r="B28" s="130"/>
      <c r="C28" s="258">
        <v>102</v>
      </c>
      <c r="D28" s="259">
        <v>102</v>
      </c>
      <c r="E28" s="237">
        <v>0.87</v>
      </c>
      <c r="F28" s="113">
        <v>0.88</v>
      </c>
      <c r="G28" s="113">
        <v>0.87</v>
      </c>
      <c r="H28" s="113">
        <v>0.88</v>
      </c>
      <c r="I28" s="113"/>
      <c r="J28" s="261"/>
      <c r="K28" s="88">
        <v>26.01</v>
      </c>
      <c r="L28" s="89">
        <v>26</v>
      </c>
      <c r="M28" s="278"/>
      <c r="N28" s="185"/>
      <c r="O28" s="185"/>
      <c r="P28" s="186"/>
      <c r="R28" s="279"/>
      <c r="S28" s="151">
        <v>31.5</v>
      </c>
      <c r="T28" s="96">
        <v>13.572050623748824</v>
      </c>
      <c r="U28" s="152">
        <v>3</v>
      </c>
      <c r="W28" s="152">
        <v>54</v>
      </c>
      <c r="X28" s="251">
        <f t="shared" si="0"/>
        <v>1.0000000000000009E-2</v>
      </c>
      <c r="Y28" s="152">
        <v>0</v>
      </c>
      <c r="Z28" s="152">
        <f>IF(OR(K28&gt;Cuts!$B$16, L28&gt;Cuts!B$16), 1,0)</f>
        <v>0</v>
      </c>
      <c r="AA28" s="248">
        <f>IF(OR(C28&gt;Cuts!$D$16, D28&gt;Cuts!$D$16),1,0)</f>
        <v>0</v>
      </c>
      <c r="AB28" s="152">
        <f t="shared" si="1"/>
        <v>0</v>
      </c>
    </row>
    <row r="29" spans="1:28">
      <c r="Z29" s="57">
        <f>SUM(Z12:Z28)</f>
        <v>1</v>
      </c>
      <c r="AA29" s="57">
        <f>SUM(AA12:AA28)</f>
        <v>0</v>
      </c>
      <c r="AB29" s="140">
        <f>SUM(AB12:AB28)</f>
        <v>0</v>
      </c>
    </row>
    <row r="31" spans="1:28">
      <c r="A31" s="66" t="s">
        <v>114</v>
      </c>
      <c r="C31" s="57" t="s">
        <v>132</v>
      </c>
      <c r="E31" s="57" t="s">
        <v>133</v>
      </c>
      <c r="K31" s="57" t="s">
        <v>130</v>
      </c>
      <c r="S31" s="57" t="s">
        <v>134</v>
      </c>
      <c r="T31" s="57" t="s">
        <v>135</v>
      </c>
    </row>
    <row r="32" spans="1:28"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104"/>
      <c r="T32" s="104"/>
      <c r="U32" s="104"/>
    </row>
    <row r="33" spans="1:20">
      <c r="A33" s="57" t="s">
        <v>116</v>
      </c>
      <c r="C33" s="57">
        <f>4*25.4</f>
        <v>101.6</v>
      </c>
      <c r="E33" s="57">
        <f>C6</f>
        <v>0.88900000000000001</v>
      </c>
      <c r="K33" s="102">
        <v>25.4</v>
      </c>
    </row>
    <row r="34" spans="1:20">
      <c r="A34" s="57" t="s">
        <v>111</v>
      </c>
      <c r="C34" s="57">
        <f>MODE(C12:D28)</f>
        <v>103</v>
      </c>
      <c r="E34" s="57">
        <f>MODE(E12:H28)</f>
        <v>0.88</v>
      </c>
      <c r="K34" s="57">
        <f>MODE(K12:L28)</f>
        <v>25.99</v>
      </c>
      <c r="S34" s="57">
        <f>MODE(S12:S28)</f>
        <v>31.5</v>
      </c>
      <c r="T34" s="57" t="e">
        <f>MODE(T2:T28)</f>
        <v>#N/A</v>
      </c>
    </row>
    <row r="35" spans="1:20">
      <c r="A35" s="57" t="s">
        <v>110</v>
      </c>
      <c r="C35" s="121">
        <f>AVERAGE(C12:D28)</f>
        <v>102.82352941176471</v>
      </c>
      <c r="E35" s="65">
        <f>AVERAGE(E12:H28)</f>
        <v>0.8820588235294119</v>
      </c>
      <c r="K35" s="153">
        <f>AVERAGE(K12:L28)</f>
        <v>26.026176470588236</v>
      </c>
      <c r="S35" s="104">
        <f>AVERAGE(S12:S28)</f>
        <v>31.841176470588234</v>
      </c>
      <c r="T35" s="104">
        <f>AVERAGE(T12:T28)</f>
        <v>13.491397974777332</v>
      </c>
    </row>
    <row r="36" spans="1:20">
      <c r="A36" s="57" t="s">
        <v>117</v>
      </c>
      <c r="C36" s="57">
        <f>STDEV(C12:D28)</f>
        <v>0.38695299497648372</v>
      </c>
      <c r="D36" s="173"/>
      <c r="E36" s="57">
        <f>STDEV(E12:H28)</f>
        <v>1.4409659232343925E-2</v>
      </c>
      <c r="K36" s="57">
        <f>STDEV(K12:L28)</f>
        <v>0.53708537048341098</v>
      </c>
      <c r="S36" s="57">
        <f>STDEV(S12:S28)</f>
        <v>0.57669188429504958</v>
      </c>
      <c r="T36" s="57">
        <f>STDEV(T12:T28)</f>
        <v>0.19434154155319436</v>
      </c>
    </row>
    <row r="37" spans="1:20">
      <c r="A37" s="154" t="s">
        <v>118</v>
      </c>
      <c r="D37" s="173"/>
      <c r="E37" s="65">
        <f>E35+E36</f>
        <v>0.89646848276175584</v>
      </c>
      <c r="K37" s="153">
        <f>K35+K36</f>
        <v>26.563261841071647</v>
      </c>
      <c r="S37" s="57">
        <f>S35+S36</f>
        <v>32.417868354883282</v>
      </c>
      <c r="T37" s="104">
        <f>T35+T36</f>
        <v>13.685739516330527</v>
      </c>
    </row>
    <row r="38" spans="1:20">
      <c r="A38" s="154" t="s">
        <v>119</v>
      </c>
      <c r="D38" s="173"/>
      <c r="E38" s="65">
        <f>E35-E36</f>
        <v>0.86764916429706795</v>
      </c>
      <c r="K38" s="153">
        <f>K35-K36</f>
        <v>25.489091100104826</v>
      </c>
      <c r="S38" s="57">
        <f>S35-S36</f>
        <v>31.264484586293186</v>
      </c>
      <c r="T38" s="104">
        <f>T35-T36</f>
        <v>13.297056433224137</v>
      </c>
    </row>
    <row r="39" spans="1:20">
      <c r="A39" s="57" t="s">
        <v>124</v>
      </c>
      <c r="C39" s="153">
        <f>MAX(C12:D28)-C33</f>
        <v>1.4000000000000057</v>
      </c>
      <c r="E39" s="65">
        <f>MAX(E12:H28)-E33</f>
        <v>2.1000000000000019E-2</v>
      </c>
      <c r="K39" s="153">
        <f>MAX(K12:L28)-$K33</f>
        <v>3.6300000000000026</v>
      </c>
    </row>
    <row r="40" spans="1:20">
      <c r="A40" s="57" t="s">
        <v>125</v>
      </c>
      <c r="C40" s="153">
        <f>MIN(C12:D28)-C33</f>
        <v>0.40000000000000568</v>
      </c>
      <c r="E40" s="65">
        <f>MIN(E12:H28)-E33</f>
        <v>-3.9000000000000035E-2</v>
      </c>
      <c r="K40" s="153">
        <f>MIN(K12:L28)-K33</f>
        <v>0.36000000000000298</v>
      </c>
    </row>
    <row r="41" spans="1:20" ht="15.75" thickBot="1"/>
    <row r="42" spans="1:20">
      <c r="A42" s="57" t="s">
        <v>146</v>
      </c>
      <c r="C42" s="40" t="s">
        <v>147</v>
      </c>
      <c r="D42" s="40" t="s">
        <v>149</v>
      </c>
    </row>
    <row r="43" spans="1:20">
      <c r="A43" s="66">
        <v>0.84</v>
      </c>
      <c r="C43" s="123">
        <v>0.84</v>
      </c>
      <c r="D43" s="124">
        <v>0</v>
      </c>
    </row>
    <row r="44" spans="1:20">
      <c r="A44" s="57">
        <f>A43+0.01</f>
        <v>0.85</v>
      </c>
      <c r="C44" s="123">
        <v>0.85</v>
      </c>
      <c r="D44" s="124">
        <v>1</v>
      </c>
    </row>
    <row r="45" spans="1:20">
      <c r="A45" s="57">
        <f t="shared" ref="A45:A53" si="2">A44+0.01</f>
        <v>0.86</v>
      </c>
      <c r="C45" s="123">
        <v>0.86</v>
      </c>
      <c r="D45" s="124">
        <v>7</v>
      </c>
    </row>
    <row r="46" spans="1:20">
      <c r="A46" s="57">
        <f t="shared" si="2"/>
        <v>0.87</v>
      </c>
      <c r="C46" s="123">
        <v>0.87</v>
      </c>
      <c r="D46" s="124">
        <v>11</v>
      </c>
    </row>
    <row r="47" spans="1:20">
      <c r="A47" s="57">
        <f t="shared" si="2"/>
        <v>0.88</v>
      </c>
      <c r="C47" s="123">
        <v>0.88</v>
      </c>
      <c r="D47" s="124">
        <v>27</v>
      </c>
    </row>
    <row r="48" spans="1:20">
      <c r="A48" s="57">
        <f t="shared" si="2"/>
        <v>0.89</v>
      </c>
      <c r="C48" s="123">
        <v>0.89</v>
      </c>
      <c r="D48" s="124">
        <v>8</v>
      </c>
    </row>
    <row r="49" spans="1:4">
      <c r="A49" s="57">
        <f>A48+0.01</f>
        <v>0.9</v>
      </c>
      <c r="C49" s="123">
        <v>0.9</v>
      </c>
      <c r="D49" s="124">
        <v>8</v>
      </c>
    </row>
    <row r="50" spans="1:4">
      <c r="A50" s="57">
        <f t="shared" si="2"/>
        <v>0.91</v>
      </c>
      <c r="C50" s="123">
        <v>0.91</v>
      </c>
      <c r="D50" s="124">
        <v>6</v>
      </c>
    </row>
    <row r="51" spans="1:4">
      <c r="A51" s="57">
        <f t="shared" si="2"/>
        <v>0.92</v>
      </c>
      <c r="C51" s="123">
        <v>0.92</v>
      </c>
      <c r="D51" s="124">
        <v>0</v>
      </c>
    </row>
    <row r="52" spans="1:4">
      <c r="A52" s="57">
        <f t="shared" si="2"/>
        <v>0.93</v>
      </c>
      <c r="C52" s="123">
        <v>0.93</v>
      </c>
      <c r="D52" s="124">
        <v>0</v>
      </c>
    </row>
    <row r="53" spans="1:4">
      <c r="A53" s="57">
        <f t="shared" si="2"/>
        <v>0.94000000000000006</v>
      </c>
      <c r="C53" s="123">
        <v>0.94000000000000006</v>
      </c>
      <c r="D53" s="124">
        <v>0</v>
      </c>
    </row>
    <row r="54" spans="1:4" ht="15.75" thickBot="1">
      <c r="C54" s="125" t="s">
        <v>148</v>
      </c>
      <c r="D54" s="125">
        <v>0</v>
      </c>
    </row>
  </sheetData>
  <sortState ref="C43:C53">
    <sortCondition ref="C43"/>
  </sortState>
  <mergeCells count="4">
    <mergeCell ref="C9:D9"/>
    <mergeCell ref="E9:I9"/>
    <mergeCell ref="K9:L9"/>
    <mergeCell ref="M9:Q9"/>
  </mergeCells>
  <pageMargins left="0.25" right="0.25" top="0.25" bottom="0.25" header="0.3" footer="0.3"/>
  <pageSetup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B67"/>
  <sheetViews>
    <sheetView topLeftCell="A8" zoomScale="70" zoomScaleNormal="70" workbookViewId="0">
      <selection activeCell="AD18" sqref="AD18"/>
    </sheetView>
  </sheetViews>
  <sheetFormatPr defaultRowHeight="15"/>
  <cols>
    <col min="1" max="1" width="6.28515625" style="57" customWidth="1"/>
    <col min="2" max="2" width="16.140625" style="57" customWidth="1"/>
    <col min="3" max="4" width="5.140625" style="57" customWidth="1"/>
    <col min="5" max="9" width="6.85546875" style="57" customWidth="1"/>
    <col min="10" max="10" width="6.85546875" style="57" bestFit="1" customWidth="1"/>
    <col min="11" max="12" width="6.85546875" style="57" customWidth="1"/>
    <col min="13" max="16" width="3.7109375" style="57" customWidth="1"/>
    <col min="17" max="17" width="8.140625" style="57" customWidth="1"/>
    <col min="18" max="18" width="5.5703125" style="57" customWidth="1"/>
    <col min="19" max="19" width="7.42578125" style="57" customWidth="1"/>
    <col min="20" max="20" width="9.85546875" style="57" customWidth="1"/>
    <col min="21" max="16384" width="9.140625" style="57"/>
  </cols>
  <sheetData>
    <row r="1" spans="1:28">
      <c r="A1" s="57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127"/>
      <c r="S1" s="127"/>
      <c r="T1" s="127"/>
    </row>
    <row r="2" spans="1:28">
      <c r="A2" s="57" t="s">
        <v>1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127"/>
      <c r="S2" s="127"/>
      <c r="T2" s="127"/>
    </row>
    <row r="3" spans="1:28">
      <c r="A3" s="57" t="s">
        <v>58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127"/>
      <c r="S3" s="127"/>
      <c r="T3" s="127"/>
    </row>
    <row r="4" spans="1:28"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127"/>
      <c r="S4" s="127"/>
      <c r="T4" s="127"/>
    </row>
    <row r="5" spans="1:28">
      <c r="B5" s="52" t="s">
        <v>112</v>
      </c>
      <c r="C5" s="52" t="s">
        <v>113</v>
      </c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127"/>
      <c r="S5" s="127"/>
      <c r="T5" s="127"/>
    </row>
    <row r="6" spans="1:28">
      <c r="A6" s="57" t="s">
        <v>77</v>
      </c>
      <c r="B6" s="66">
        <v>0.04</v>
      </c>
      <c r="C6" s="57">
        <f>B6*25.4</f>
        <v>1.016</v>
      </c>
      <c r="D6" s="52"/>
      <c r="E6" s="52"/>
      <c r="F6" s="52"/>
      <c r="G6" s="52"/>
      <c r="H6" s="70">
        <f>MIN(E13:J36)</f>
        <v>0.95</v>
      </c>
      <c r="I6" s="70">
        <f>MIN(E13:J26,E28:J36)</f>
        <v>0.99</v>
      </c>
      <c r="J6" s="52">
        <f>MAX(E12:J36)</f>
        <v>1.07</v>
      </c>
      <c r="K6" s="52"/>
      <c r="L6" s="52"/>
      <c r="M6" s="52"/>
      <c r="N6" s="52"/>
      <c r="O6" s="52"/>
      <c r="P6" s="52"/>
      <c r="Q6" s="52"/>
      <c r="R6" s="127"/>
      <c r="S6" s="127"/>
      <c r="T6" s="127"/>
    </row>
    <row r="7" spans="1:28">
      <c r="B7" s="6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127"/>
      <c r="S7" s="127"/>
      <c r="T7" s="127"/>
    </row>
    <row r="8" spans="1:28"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127"/>
      <c r="S8" s="127"/>
      <c r="T8" s="127"/>
      <c r="V8" s="100" t="s">
        <v>157</v>
      </c>
      <c r="Y8" s="100"/>
    </row>
    <row r="9" spans="1:28" ht="45">
      <c r="A9" s="111" t="s">
        <v>216</v>
      </c>
      <c r="B9" s="281" t="s">
        <v>60</v>
      </c>
      <c r="C9" s="767" t="s">
        <v>61</v>
      </c>
      <c r="D9" s="768"/>
      <c r="E9" s="766" t="s">
        <v>62</v>
      </c>
      <c r="F9" s="766"/>
      <c r="G9" s="766"/>
      <c r="H9" s="766"/>
      <c r="I9" s="766"/>
      <c r="J9" s="129"/>
      <c r="K9" s="767" t="s">
        <v>63</v>
      </c>
      <c r="L9" s="768"/>
      <c r="M9" s="767" t="s">
        <v>64</v>
      </c>
      <c r="N9" s="765"/>
      <c r="O9" s="765"/>
      <c r="P9" s="765"/>
      <c r="Q9" s="130" t="s">
        <v>91</v>
      </c>
      <c r="R9" s="39" t="s">
        <v>220</v>
      </c>
      <c r="S9" s="228" t="s">
        <v>221</v>
      </c>
      <c r="T9" s="155" t="s">
        <v>101</v>
      </c>
      <c r="V9" s="152" t="s">
        <v>216</v>
      </c>
      <c r="W9" s="46" t="s">
        <v>631</v>
      </c>
      <c r="X9" s="133" t="s">
        <v>123</v>
      </c>
      <c r="Y9" s="134" t="s">
        <v>155</v>
      </c>
      <c r="Z9" s="152" t="s">
        <v>196</v>
      </c>
      <c r="AA9" s="252" t="s">
        <v>223</v>
      </c>
      <c r="AB9" s="225" t="s">
        <v>628</v>
      </c>
    </row>
    <row r="10" spans="1:28">
      <c r="A10" s="66"/>
      <c r="B10" s="159"/>
      <c r="C10" s="60">
        <v>1</v>
      </c>
      <c r="D10" s="159">
        <v>2</v>
      </c>
      <c r="E10" s="256">
        <v>1</v>
      </c>
      <c r="F10" s="199">
        <v>2</v>
      </c>
      <c r="G10" s="199">
        <v>3</v>
      </c>
      <c r="H10" s="199">
        <v>4</v>
      </c>
      <c r="I10" s="199">
        <v>5</v>
      </c>
      <c r="J10" s="255">
        <v>6</v>
      </c>
      <c r="K10" s="256">
        <v>1</v>
      </c>
      <c r="L10" s="255">
        <v>2</v>
      </c>
      <c r="M10" s="256">
        <v>1</v>
      </c>
      <c r="N10" s="199">
        <v>2</v>
      </c>
      <c r="O10" s="199">
        <v>3</v>
      </c>
      <c r="P10" s="199">
        <v>4</v>
      </c>
      <c r="Q10" s="255"/>
      <c r="R10" s="262"/>
      <c r="S10" s="263"/>
      <c r="T10" s="264"/>
      <c r="V10" s="143"/>
      <c r="W10" s="143"/>
      <c r="X10" s="142"/>
      <c r="Y10" s="138"/>
      <c r="Z10" s="138"/>
      <c r="AA10" s="143"/>
    </row>
    <row r="11" spans="1:28">
      <c r="A11" s="66"/>
      <c r="B11" s="159"/>
      <c r="C11" s="60"/>
      <c r="D11" s="159"/>
      <c r="E11" s="233"/>
      <c r="F11" s="71"/>
      <c r="G11" s="71"/>
      <c r="H11" s="71"/>
      <c r="I11" s="71"/>
      <c r="J11" s="234"/>
      <c r="K11" s="60"/>
      <c r="L11" s="159"/>
      <c r="M11" s="60"/>
      <c r="N11" s="61"/>
      <c r="O11" s="61"/>
      <c r="P11" s="61"/>
      <c r="Q11" s="159"/>
      <c r="R11" s="145"/>
      <c r="S11" s="141"/>
      <c r="T11" s="143"/>
      <c r="V11" s="143"/>
      <c r="W11" s="143"/>
      <c r="X11" s="142"/>
      <c r="Y11" s="143"/>
      <c r="Z11" s="143"/>
      <c r="AA11" s="143"/>
    </row>
    <row r="12" spans="1:28">
      <c r="A12" s="80">
        <v>0</v>
      </c>
      <c r="B12" s="84" t="s">
        <v>99</v>
      </c>
      <c r="C12" s="81">
        <v>204</v>
      </c>
      <c r="D12" s="84">
        <v>204</v>
      </c>
      <c r="E12" s="81">
        <v>0.95</v>
      </c>
      <c r="F12" s="82">
        <v>0.95</v>
      </c>
      <c r="G12" s="82">
        <v>0.96</v>
      </c>
      <c r="H12" s="82">
        <v>0.96</v>
      </c>
      <c r="I12" s="67">
        <v>0.95</v>
      </c>
      <c r="J12" s="84">
        <v>0.95</v>
      </c>
      <c r="K12" s="282">
        <v>26.1</v>
      </c>
      <c r="L12" s="59">
        <v>26.8</v>
      </c>
      <c r="M12" s="277"/>
      <c r="N12" s="180"/>
      <c r="O12" s="180"/>
      <c r="P12" s="178"/>
      <c r="Q12" s="274" t="s">
        <v>94</v>
      </c>
      <c r="R12" s="283">
        <v>70.599999999999994</v>
      </c>
      <c r="S12" s="64">
        <f t="shared" ref="S12:S36" si="0">R12/(AVERAGE(C12:D12)*AVERAGE(E12:J12)*AVERAGE(K12:L12)*0.001)</f>
        <v>13.724738510683132</v>
      </c>
      <c r="T12" s="143">
        <v>1</v>
      </c>
      <c r="V12" s="284">
        <v>0</v>
      </c>
      <c r="W12" s="284">
        <f>MAX(E12:J12)-MIN(E12:J12)</f>
        <v>1.0000000000000009E-2</v>
      </c>
      <c r="X12" s="143">
        <f t="shared" ref="X12:X36" si="1">IF(OR(ABS(E12-$C$6)&gt;($C$6*0.1),ABS(F12-$C$6)&gt;($C$6*0.1),ABS(G12-$C$6)&gt;($C$6*0.1),ABS(H12-$C$6)&gt;($C$6*0.1),ABS(I12-$C$6)&gt;($C$6*0.1),ABS(J12-$C$6)&gt;($C$6*0.1)),1,0)</f>
        <v>0</v>
      </c>
      <c r="Y12" s="143">
        <f>IF(OR(K12&gt;Cuts!$B$16, L12&gt;Cuts!B$16), 1,0)</f>
        <v>0</v>
      </c>
      <c r="Z12" s="246">
        <f>IF(OR(C12&gt;Cuts!$C$16, D12&gt;Cuts!$C$16),1,0)</f>
        <v>0</v>
      </c>
      <c r="AA12" s="143">
        <f>IF(OR(M12="Y",N12="Y",O12="Y",P12="Y"),1,0)</f>
        <v>0</v>
      </c>
    </row>
    <row r="13" spans="1:28">
      <c r="A13" s="66">
        <v>1</v>
      </c>
      <c r="B13" s="159"/>
      <c r="C13" s="257">
        <v>204</v>
      </c>
      <c r="D13" s="54">
        <v>204</v>
      </c>
      <c r="E13" s="233">
        <v>1</v>
      </c>
      <c r="F13" s="71">
        <v>1</v>
      </c>
      <c r="G13" s="71">
        <v>1</v>
      </c>
      <c r="H13" s="71">
        <v>1.01</v>
      </c>
      <c r="I13" s="71">
        <v>1</v>
      </c>
      <c r="J13" s="234">
        <v>1.02</v>
      </c>
      <c r="K13" s="72">
        <v>26.16</v>
      </c>
      <c r="L13" s="73">
        <v>26.05</v>
      </c>
      <c r="M13" s="275"/>
      <c r="N13" s="177" t="s">
        <v>89</v>
      </c>
      <c r="O13" s="177"/>
      <c r="P13" s="178"/>
      <c r="Q13" s="276"/>
      <c r="R13" s="145">
        <v>72</v>
      </c>
      <c r="S13" s="64">
        <f t="shared" si="0"/>
        <v>13.452796407565247</v>
      </c>
      <c r="T13" s="143">
        <v>3</v>
      </c>
      <c r="V13" s="143">
        <v>1</v>
      </c>
      <c r="W13" s="284">
        <f t="shared" ref="W13:W36" si="2">MAX(E13:J13)-MIN(E13:J13)</f>
        <v>2.0000000000000018E-2</v>
      </c>
      <c r="X13" s="143">
        <f t="shared" si="1"/>
        <v>0</v>
      </c>
      <c r="Y13" s="143">
        <f>IF(OR(K13&gt;Cuts!$B$16, L13&gt;Cuts!B$16), 1,0)</f>
        <v>0</v>
      </c>
      <c r="Z13" s="246">
        <f>IF(OR(C13&gt;Cuts!$C$16, D13&gt;Cuts!$C$16),1,0)</f>
        <v>0</v>
      </c>
      <c r="AA13" s="143">
        <f t="shared" ref="AA13:AA36" si="3">IF(OR(M13="Y",N13="Y",O13="Y",P13="Y"),1,0)</f>
        <v>0</v>
      </c>
    </row>
    <row r="14" spans="1:28">
      <c r="A14" s="66">
        <f>A13+1</f>
        <v>2</v>
      </c>
      <c r="B14" s="159"/>
      <c r="C14" s="257">
        <v>204</v>
      </c>
      <c r="D14" s="54">
        <v>204</v>
      </c>
      <c r="E14" s="233">
        <v>1.03</v>
      </c>
      <c r="F14" s="71">
        <v>1.05</v>
      </c>
      <c r="G14" s="71">
        <v>1.04</v>
      </c>
      <c r="H14" s="71">
        <v>1.04</v>
      </c>
      <c r="I14" s="71">
        <v>1.03</v>
      </c>
      <c r="J14" s="234">
        <v>1.03</v>
      </c>
      <c r="K14" s="72">
        <v>25.72</v>
      </c>
      <c r="L14" s="73">
        <v>25.89</v>
      </c>
      <c r="M14" s="275"/>
      <c r="N14" s="177"/>
      <c r="O14" s="177"/>
      <c r="P14" s="178"/>
      <c r="Q14" s="274" t="s">
        <v>93</v>
      </c>
      <c r="R14" s="145">
        <v>73.5</v>
      </c>
      <c r="S14" s="64">
        <f t="shared" si="0"/>
        <v>13.468343181593541</v>
      </c>
      <c r="T14" s="143">
        <v>3</v>
      </c>
      <c r="V14" s="143">
        <f>V13+1</f>
        <v>2</v>
      </c>
      <c r="W14" s="284">
        <f t="shared" si="2"/>
        <v>2.0000000000000018E-2</v>
      </c>
      <c r="X14" s="143">
        <f t="shared" si="1"/>
        <v>0</v>
      </c>
      <c r="Y14" s="143">
        <f>IF(OR(K14&gt;Cuts!$B$16, L14&gt;Cuts!B$16), 1,0)</f>
        <v>0</v>
      </c>
      <c r="Z14" s="246">
        <f>IF(OR(C14&gt;Cuts!$C$16, D14&gt;Cuts!$C$16),1,0)</f>
        <v>0</v>
      </c>
      <c r="AA14" s="143">
        <f t="shared" si="3"/>
        <v>0</v>
      </c>
    </row>
    <row r="15" spans="1:28">
      <c r="A15" s="804">
        <f t="shared" ref="A15:A36" si="4">A14+1</f>
        <v>3</v>
      </c>
      <c r="B15" s="159"/>
      <c r="C15" s="257">
        <v>204</v>
      </c>
      <c r="D15" s="54">
        <v>204</v>
      </c>
      <c r="E15" s="233">
        <v>1.07</v>
      </c>
      <c r="F15" s="71">
        <v>1.06</v>
      </c>
      <c r="G15" s="71">
        <v>1.06</v>
      </c>
      <c r="H15" s="71">
        <v>1.04</v>
      </c>
      <c r="I15" s="71">
        <v>1.05</v>
      </c>
      <c r="J15" s="234">
        <v>1.03</v>
      </c>
      <c r="K15" s="72">
        <v>25.93</v>
      </c>
      <c r="L15" s="73">
        <v>25.98</v>
      </c>
      <c r="M15" s="275"/>
      <c r="N15" s="177"/>
      <c r="O15" s="177" t="s">
        <v>88</v>
      </c>
      <c r="P15" s="178" t="s">
        <v>89</v>
      </c>
      <c r="Q15" s="274" t="s">
        <v>93</v>
      </c>
      <c r="R15" s="145">
        <v>74.8</v>
      </c>
      <c r="S15" s="64">
        <f t="shared" si="0"/>
        <v>13.432977532429192</v>
      </c>
      <c r="T15" s="143">
        <v>3</v>
      </c>
      <c r="V15" s="803">
        <f t="shared" ref="V15:V36" si="5">V14+1</f>
        <v>3</v>
      </c>
      <c r="W15" s="284">
        <f t="shared" si="2"/>
        <v>4.0000000000000036E-2</v>
      </c>
      <c r="X15" s="143">
        <f t="shared" si="1"/>
        <v>0</v>
      </c>
      <c r="Y15" s="143">
        <f>IF(OR(K15&gt;Cuts!$B$16, L15&gt;Cuts!B$16), 1,0)</f>
        <v>0</v>
      </c>
      <c r="Z15" s="246">
        <f>IF(OR(C15&gt;Cuts!$C$16, D15&gt;Cuts!$C$16),1,0)</f>
        <v>0</v>
      </c>
      <c r="AA15" s="143">
        <f t="shared" si="3"/>
        <v>1</v>
      </c>
      <c r="AB15" t="s">
        <v>636</v>
      </c>
    </row>
    <row r="16" spans="1:28">
      <c r="A16" s="66">
        <f t="shared" si="4"/>
        <v>4</v>
      </c>
      <c r="B16" s="159"/>
      <c r="C16" s="257">
        <v>204</v>
      </c>
      <c r="D16" s="54">
        <v>204</v>
      </c>
      <c r="E16" s="233">
        <v>1.03</v>
      </c>
      <c r="F16" s="71">
        <v>1.03</v>
      </c>
      <c r="G16" s="71">
        <v>1.03</v>
      </c>
      <c r="H16" s="71">
        <v>1.04</v>
      </c>
      <c r="I16" s="71">
        <v>1.03</v>
      </c>
      <c r="J16" s="234">
        <v>1.04</v>
      </c>
      <c r="K16" s="72">
        <v>25.85</v>
      </c>
      <c r="L16" s="73">
        <v>25.94</v>
      </c>
      <c r="M16" s="275"/>
      <c r="N16" s="177"/>
      <c r="O16" s="177"/>
      <c r="P16" s="178"/>
      <c r="Q16" s="274" t="s">
        <v>93</v>
      </c>
      <c r="R16" s="145">
        <v>73.2</v>
      </c>
      <c r="S16" s="64">
        <f t="shared" si="0"/>
        <v>13.409869737404705</v>
      </c>
      <c r="T16" s="143">
        <v>3</v>
      </c>
      <c r="V16" s="143">
        <f t="shared" si="5"/>
        <v>4</v>
      </c>
      <c r="W16" s="284">
        <f t="shared" si="2"/>
        <v>1.0000000000000009E-2</v>
      </c>
      <c r="X16" s="143">
        <f t="shared" si="1"/>
        <v>0</v>
      </c>
      <c r="Y16" s="143">
        <f>IF(OR(K16&gt;Cuts!$B$16, L16&gt;Cuts!B$16), 1,0)</f>
        <v>0</v>
      </c>
      <c r="Z16" s="246">
        <f>IF(OR(C16&gt;Cuts!$C$16, D16&gt;Cuts!$C$16),1,0)</f>
        <v>0</v>
      </c>
      <c r="AA16" s="143">
        <f t="shared" si="3"/>
        <v>0</v>
      </c>
    </row>
    <row r="17" spans="1:28">
      <c r="A17" s="66">
        <f t="shared" si="4"/>
        <v>5</v>
      </c>
      <c r="B17" s="159"/>
      <c r="C17" s="257">
        <v>204</v>
      </c>
      <c r="D17" s="54">
        <v>204</v>
      </c>
      <c r="E17" s="233">
        <v>0.99</v>
      </c>
      <c r="F17" s="71">
        <v>1.01</v>
      </c>
      <c r="G17" s="71">
        <v>1</v>
      </c>
      <c r="H17" s="71">
        <v>1.01</v>
      </c>
      <c r="I17" s="71">
        <v>1</v>
      </c>
      <c r="J17" s="234">
        <v>1</v>
      </c>
      <c r="K17" s="72">
        <v>25.91</v>
      </c>
      <c r="L17" s="73">
        <v>25.65</v>
      </c>
      <c r="M17" s="275"/>
      <c r="N17" s="177"/>
      <c r="O17" s="177" t="s">
        <v>89</v>
      </c>
      <c r="P17" s="178" t="s">
        <v>88</v>
      </c>
      <c r="Q17" s="276"/>
      <c r="R17" s="145">
        <v>71</v>
      </c>
      <c r="S17" s="64">
        <f t="shared" si="0"/>
        <v>13.477894317059146</v>
      </c>
      <c r="T17" s="143">
        <v>3</v>
      </c>
      <c r="V17" s="143">
        <f t="shared" si="5"/>
        <v>5</v>
      </c>
      <c r="W17" s="284">
        <f t="shared" si="2"/>
        <v>2.0000000000000018E-2</v>
      </c>
      <c r="X17" s="143">
        <f t="shared" si="1"/>
        <v>0</v>
      </c>
      <c r="Y17" s="143">
        <f>IF(OR(K17&gt;Cuts!$B$16, L17&gt;Cuts!B$16), 1,0)</f>
        <v>0</v>
      </c>
      <c r="Z17" s="246">
        <f>IF(OR(C17&gt;Cuts!$C$16, D17&gt;Cuts!$C$16),1,0)</f>
        <v>0</v>
      </c>
      <c r="AA17" s="143">
        <f t="shared" si="3"/>
        <v>1</v>
      </c>
    </row>
    <row r="18" spans="1:28">
      <c r="A18" s="66">
        <f t="shared" si="4"/>
        <v>6</v>
      </c>
      <c r="B18" s="159"/>
      <c r="C18" s="257">
        <v>204</v>
      </c>
      <c r="D18" s="54">
        <v>204</v>
      </c>
      <c r="E18" s="233">
        <v>1.02</v>
      </c>
      <c r="F18" s="71">
        <v>1.02</v>
      </c>
      <c r="G18" s="71">
        <v>1.03</v>
      </c>
      <c r="H18" s="71">
        <v>1.03</v>
      </c>
      <c r="I18" s="71">
        <v>1.03</v>
      </c>
      <c r="J18" s="234">
        <v>1.03</v>
      </c>
      <c r="K18" s="72">
        <v>25.96</v>
      </c>
      <c r="L18" s="73">
        <v>26.01</v>
      </c>
      <c r="M18" s="275"/>
      <c r="N18" s="177"/>
      <c r="O18" s="177"/>
      <c r="P18" s="178"/>
      <c r="Q18" s="276"/>
      <c r="R18" s="145">
        <v>73.400000000000006</v>
      </c>
      <c r="S18" s="64">
        <f t="shared" si="0"/>
        <v>13.486948822945836</v>
      </c>
      <c r="T18" s="143">
        <v>3</v>
      </c>
      <c r="V18" s="143">
        <f t="shared" si="5"/>
        <v>6</v>
      </c>
      <c r="W18" s="284">
        <f t="shared" si="2"/>
        <v>1.0000000000000009E-2</v>
      </c>
      <c r="X18" s="143">
        <f t="shared" si="1"/>
        <v>0</v>
      </c>
      <c r="Y18" s="143">
        <f>IF(OR(K18&gt;Cuts!$B$16, L18&gt;Cuts!B$16), 1,0)</f>
        <v>0</v>
      </c>
      <c r="Z18" s="246">
        <f>IF(OR(C18&gt;Cuts!$C$16, D18&gt;Cuts!$C$16),1,0)</f>
        <v>0</v>
      </c>
      <c r="AA18" s="143">
        <f t="shared" si="3"/>
        <v>0</v>
      </c>
    </row>
    <row r="19" spans="1:28">
      <c r="A19" s="66">
        <f t="shared" si="4"/>
        <v>7</v>
      </c>
      <c r="B19" s="159"/>
      <c r="C19" s="257">
        <v>204</v>
      </c>
      <c r="D19" s="54">
        <v>204</v>
      </c>
      <c r="E19" s="233">
        <v>1.04</v>
      </c>
      <c r="F19" s="71">
        <v>1.04</v>
      </c>
      <c r="G19" s="71">
        <v>1.04</v>
      </c>
      <c r="H19" s="71">
        <v>1.04</v>
      </c>
      <c r="I19" s="71">
        <v>1.04</v>
      </c>
      <c r="J19" s="234">
        <v>1.04</v>
      </c>
      <c r="K19" s="72">
        <v>26.2</v>
      </c>
      <c r="L19" s="73">
        <v>26</v>
      </c>
      <c r="M19" s="275" t="s">
        <v>89</v>
      </c>
      <c r="N19" s="177"/>
      <c r="O19" s="177"/>
      <c r="P19" s="178" t="s">
        <v>89</v>
      </c>
      <c r="Q19" s="276"/>
      <c r="R19" s="145">
        <v>74.400000000000006</v>
      </c>
      <c r="S19" s="64">
        <f t="shared" si="0"/>
        <v>13.435966782822767</v>
      </c>
      <c r="T19" s="143">
        <v>3</v>
      </c>
      <c r="V19" s="143">
        <f t="shared" si="5"/>
        <v>7</v>
      </c>
      <c r="W19" s="284">
        <f t="shared" si="2"/>
        <v>0</v>
      </c>
      <c r="X19" s="143">
        <f t="shared" si="1"/>
        <v>0</v>
      </c>
      <c r="Y19" s="143">
        <f>IF(OR(K19&gt;Cuts!$B$16, L19&gt;Cuts!B$16), 1,0)</f>
        <v>0</v>
      </c>
      <c r="Z19" s="246">
        <f>IF(OR(C19&gt;Cuts!$C$16, D19&gt;Cuts!$C$16),1,0)</f>
        <v>0</v>
      </c>
      <c r="AA19" s="143">
        <f t="shared" si="3"/>
        <v>0</v>
      </c>
    </row>
    <row r="20" spans="1:28">
      <c r="A20" s="66">
        <f t="shared" si="4"/>
        <v>8</v>
      </c>
      <c r="B20" s="159"/>
      <c r="C20" s="257">
        <v>204</v>
      </c>
      <c r="D20" s="54">
        <v>204</v>
      </c>
      <c r="E20" s="233">
        <v>1.05</v>
      </c>
      <c r="F20" s="71">
        <v>1.05</v>
      </c>
      <c r="G20" s="71">
        <v>1.04</v>
      </c>
      <c r="H20" s="71">
        <v>1.04</v>
      </c>
      <c r="I20" s="71">
        <v>1.03</v>
      </c>
      <c r="J20" s="234">
        <v>1.03</v>
      </c>
      <c r="K20" s="72">
        <v>26.1</v>
      </c>
      <c r="L20" s="73">
        <v>26.04</v>
      </c>
      <c r="M20" s="275"/>
      <c r="N20" s="177"/>
      <c r="O20" s="177"/>
      <c r="P20" s="178"/>
      <c r="Q20" s="274" t="s">
        <v>94</v>
      </c>
      <c r="R20" s="145">
        <v>74.099999999999994</v>
      </c>
      <c r="S20" s="64">
        <f t="shared" si="0"/>
        <v>13.397188564723931</v>
      </c>
      <c r="T20" s="143">
        <v>3</v>
      </c>
      <c r="V20" s="143">
        <f t="shared" si="5"/>
        <v>8</v>
      </c>
      <c r="W20" s="284">
        <f t="shared" si="2"/>
        <v>2.0000000000000018E-2</v>
      </c>
      <c r="X20" s="143">
        <f t="shared" si="1"/>
        <v>0</v>
      </c>
      <c r="Y20" s="143">
        <f>IF(OR(K20&gt;Cuts!$B$16, L20&gt;Cuts!B$16), 1,0)</f>
        <v>0</v>
      </c>
      <c r="Z20" s="246">
        <f>IF(OR(C20&gt;Cuts!$C$16, D20&gt;Cuts!$C$16),1,0)</f>
        <v>0</v>
      </c>
      <c r="AA20" s="143">
        <f t="shared" si="3"/>
        <v>0</v>
      </c>
    </row>
    <row r="21" spans="1:28">
      <c r="A21" s="66">
        <f t="shared" si="4"/>
        <v>9</v>
      </c>
      <c r="B21" s="159"/>
      <c r="C21" s="257">
        <v>204</v>
      </c>
      <c r="D21" s="54">
        <v>204</v>
      </c>
      <c r="E21" s="233">
        <v>1</v>
      </c>
      <c r="F21" s="71">
        <v>0.99</v>
      </c>
      <c r="G21" s="71">
        <v>1</v>
      </c>
      <c r="H21" s="71">
        <v>1</v>
      </c>
      <c r="I21" s="71">
        <v>1</v>
      </c>
      <c r="J21" s="234">
        <v>1</v>
      </c>
      <c r="K21" s="72">
        <v>25.88</v>
      </c>
      <c r="L21" s="73">
        <v>26</v>
      </c>
      <c r="M21" s="275"/>
      <c r="N21" s="177"/>
      <c r="O21" s="177"/>
      <c r="P21" s="178"/>
      <c r="Q21" s="276"/>
      <c r="R21" s="145">
        <v>71.099999999999994</v>
      </c>
      <c r="S21" s="64">
        <f t="shared" si="0"/>
        <v>13.458414181617494</v>
      </c>
      <c r="T21" s="143">
        <v>3</v>
      </c>
      <c r="V21" s="143">
        <f t="shared" si="5"/>
        <v>9</v>
      </c>
      <c r="W21" s="284">
        <f t="shared" si="2"/>
        <v>1.0000000000000009E-2</v>
      </c>
      <c r="X21" s="143">
        <f t="shared" si="1"/>
        <v>0</v>
      </c>
      <c r="Y21" s="143">
        <f>IF(OR(K21&gt;Cuts!$B$16, L21&gt;Cuts!B$16), 1,0)</f>
        <v>0</v>
      </c>
      <c r="Z21" s="246">
        <f>IF(OR(C21&gt;Cuts!$C$16, D21&gt;Cuts!$C$16),1,0)</f>
        <v>0</v>
      </c>
      <c r="AA21" s="143">
        <f t="shared" si="3"/>
        <v>0</v>
      </c>
    </row>
    <row r="22" spans="1:28">
      <c r="A22" s="66">
        <f t="shared" si="4"/>
        <v>10</v>
      </c>
      <c r="B22" s="159"/>
      <c r="C22" s="257">
        <v>204</v>
      </c>
      <c r="D22" s="54">
        <v>204</v>
      </c>
      <c r="E22" s="233">
        <v>1.01</v>
      </c>
      <c r="F22" s="71">
        <v>1.03</v>
      </c>
      <c r="G22" s="71">
        <v>1.03</v>
      </c>
      <c r="H22" s="71">
        <v>1.03</v>
      </c>
      <c r="I22" s="71">
        <v>1.03</v>
      </c>
      <c r="J22" s="234">
        <v>1.03</v>
      </c>
      <c r="K22" s="72">
        <v>25.95</v>
      </c>
      <c r="L22" s="73">
        <v>25.91</v>
      </c>
      <c r="M22" s="275" t="s">
        <v>89</v>
      </c>
      <c r="N22" s="177" t="s">
        <v>88</v>
      </c>
      <c r="O22" s="177"/>
      <c r="P22" s="178"/>
      <c r="Q22" s="274" t="s">
        <v>93</v>
      </c>
      <c r="R22" s="145">
        <v>73.5</v>
      </c>
      <c r="S22" s="64">
        <f t="shared" si="0"/>
        <v>13.533969490050339</v>
      </c>
      <c r="T22" s="143">
        <v>3</v>
      </c>
      <c r="V22" s="143">
        <f t="shared" si="5"/>
        <v>10</v>
      </c>
      <c r="W22" s="284">
        <f t="shared" si="2"/>
        <v>2.0000000000000018E-2</v>
      </c>
      <c r="X22" s="143">
        <f t="shared" si="1"/>
        <v>0</v>
      </c>
      <c r="Y22" s="143">
        <f>IF(OR(K22&gt;Cuts!$B$16, L22&gt;Cuts!B$16), 1,0)</f>
        <v>0</v>
      </c>
      <c r="Z22" s="246">
        <f>IF(OR(C22&gt;Cuts!$C$16, D22&gt;Cuts!$C$16),1,0)</f>
        <v>0</v>
      </c>
      <c r="AA22" s="143">
        <f t="shared" si="3"/>
        <v>1</v>
      </c>
    </row>
    <row r="23" spans="1:28">
      <c r="A23" s="171">
        <f t="shared" si="4"/>
        <v>11</v>
      </c>
      <c r="B23" s="159"/>
      <c r="C23" s="257">
        <v>204</v>
      </c>
      <c r="D23" s="54">
        <v>204</v>
      </c>
      <c r="E23" s="233">
        <v>1.03</v>
      </c>
      <c r="F23" s="71">
        <v>1.03</v>
      </c>
      <c r="G23" s="71">
        <v>1.03</v>
      </c>
      <c r="H23" s="71">
        <v>1.03</v>
      </c>
      <c r="I23" s="71">
        <v>1.03</v>
      </c>
      <c r="J23" s="234">
        <v>1.03</v>
      </c>
      <c r="K23" s="72">
        <v>25.94</v>
      </c>
      <c r="L23" s="73">
        <v>25.94</v>
      </c>
      <c r="M23" s="275"/>
      <c r="N23" s="177" t="s">
        <v>88</v>
      </c>
      <c r="O23" s="177" t="s">
        <v>88</v>
      </c>
      <c r="P23" s="178" t="s">
        <v>88</v>
      </c>
      <c r="Q23" s="274" t="s">
        <v>94</v>
      </c>
      <c r="R23" s="145">
        <v>73.2</v>
      </c>
      <c r="S23" s="64">
        <f t="shared" si="0"/>
        <v>13.429929015119457</v>
      </c>
      <c r="T23" s="143">
        <v>3</v>
      </c>
      <c r="V23" s="265">
        <f t="shared" si="5"/>
        <v>11</v>
      </c>
      <c r="W23" s="284">
        <f t="shared" si="2"/>
        <v>0</v>
      </c>
      <c r="X23" s="143">
        <f t="shared" si="1"/>
        <v>0</v>
      </c>
      <c r="Y23" s="143">
        <f>IF(OR(K23&gt;Cuts!$B$16, L23&gt;Cuts!B$16), 1,0)</f>
        <v>0</v>
      </c>
      <c r="Z23" s="246">
        <f>IF(OR(C23&gt;Cuts!$C$16, D23&gt;Cuts!$C$16),1,0)</f>
        <v>0</v>
      </c>
      <c r="AA23" s="143">
        <f t="shared" si="3"/>
        <v>1</v>
      </c>
      <c r="AB23" t="s">
        <v>632</v>
      </c>
    </row>
    <row r="24" spans="1:28" ht="30">
      <c r="A24" s="66">
        <f t="shared" si="4"/>
        <v>12</v>
      </c>
      <c r="B24" s="159" t="s">
        <v>82</v>
      </c>
      <c r="C24" s="257">
        <v>204</v>
      </c>
      <c r="D24" s="54">
        <v>204</v>
      </c>
      <c r="E24" s="233">
        <v>1.01</v>
      </c>
      <c r="F24" s="71">
        <v>1.01</v>
      </c>
      <c r="G24" s="71">
        <v>1.02</v>
      </c>
      <c r="H24" s="71">
        <v>1.02</v>
      </c>
      <c r="I24" s="71">
        <v>1.02</v>
      </c>
      <c r="J24" s="234">
        <v>1.02</v>
      </c>
      <c r="K24" s="72">
        <v>26.06</v>
      </c>
      <c r="L24" s="73">
        <v>26.1</v>
      </c>
      <c r="M24" s="275" t="s">
        <v>88</v>
      </c>
      <c r="N24" s="177" t="s">
        <v>88</v>
      </c>
      <c r="O24" s="177"/>
      <c r="P24" s="178"/>
      <c r="Q24" s="274" t="s">
        <v>93</v>
      </c>
      <c r="R24" s="145">
        <v>72.400000000000006</v>
      </c>
      <c r="S24" s="64">
        <f t="shared" si="0"/>
        <v>13.385118706036174</v>
      </c>
      <c r="T24" s="143">
        <v>3</v>
      </c>
      <c r="V24" s="143">
        <f t="shared" si="5"/>
        <v>12</v>
      </c>
      <c r="W24" s="284">
        <f t="shared" si="2"/>
        <v>1.0000000000000009E-2</v>
      </c>
      <c r="X24" s="143">
        <f t="shared" si="1"/>
        <v>0</v>
      </c>
      <c r="Y24" s="143">
        <f>IF(OR(K24&gt;Cuts!$B$16, L24&gt;Cuts!B$16), 1,0)</f>
        <v>0</v>
      </c>
      <c r="Z24" s="246">
        <f>IF(OR(C24&gt;Cuts!$C$16, D24&gt;Cuts!$C$16),1,0)</f>
        <v>0</v>
      </c>
      <c r="AA24" s="143">
        <f t="shared" si="3"/>
        <v>1</v>
      </c>
    </row>
    <row r="25" spans="1:28">
      <c r="A25" s="66">
        <f t="shared" si="4"/>
        <v>13</v>
      </c>
      <c r="B25" s="159"/>
      <c r="C25" s="257">
        <v>204</v>
      </c>
      <c r="D25" s="54">
        <v>204</v>
      </c>
      <c r="E25" s="233">
        <v>1.05</v>
      </c>
      <c r="F25" s="71">
        <v>1.05</v>
      </c>
      <c r="G25" s="71">
        <v>1.04</v>
      </c>
      <c r="H25" s="71">
        <v>1.03</v>
      </c>
      <c r="I25" s="71">
        <v>1.03</v>
      </c>
      <c r="J25" s="234">
        <v>1.03</v>
      </c>
      <c r="K25" s="72">
        <v>25.98</v>
      </c>
      <c r="L25" s="73">
        <v>25.97</v>
      </c>
      <c r="M25" s="275" t="s">
        <v>89</v>
      </c>
      <c r="N25" s="177"/>
      <c r="O25" s="177" t="s">
        <v>89</v>
      </c>
      <c r="P25" s="178" t="s">
        <v>89</v>
      </c>
      <c r="Q25" s="274" t="s">
        <v>94</v>
      </c>
      <c r="R25" s="145">
        <v>74</v>
      </c>
      <c r="S25" s="64">
        <f t="shared" si="0"/>
        <v>13.449594780975618</v>
      </c>
      <c r="T25" s="143">
        <v>3</v>
      </c>
      <c r="V25" s="143">
        <f t="shared" si="5"/>
        <v>13</v>
      </c>
      <c r="W25" s="284">
        <f t="shared" si="2"/>
        <v>2.0000000000000018E-2</v>
      </c>
      <c r="X25" s="143">
        <f t="shared" si="1"/>
        <v>0</v>
      </c>
      <c r="Y25" s="143">
        <f>IF(OR(K25&gt;Cuts!$B$16, L25&gt;Cuts!B$16), 1,0)</f>
        <v>0</v>
      </c>
      <c r="Z25" s="246">
        <f>IF(OR(C25&gt;Cuts!$C$16, D25&gt;Cuts!$C$16),1,0)</f>
        <v>0</v>
      </c>
      <c r="AA25" s="143">
        <f t="shared" si="3"/>
        <v>0</v>
      </c>
    </row>
    <row r="26" spans="1:28">
      <c r="A26" s="66">
        <f t="shared" si="4"/>
        <v>14</v>
      </c>
      <c r="B26" s="159"/>
      <c r="C26" s="257">
        <v>204</v>
      </c>
      <c r="D26" s="54">
        <v>204</v>
      </c>
      <c r="E26" s="233">
        <v>1.04</v>
      </c>
      <c r="F26" s="71">
        <v>1.04</v>
      </c>
      <c r="G26" s="71">
        <v>1.04</v>
      </c>
      <c r="H26" s="71">
        <v>1.05</v>
      </c>
      <c r="I26" s="71">
        <v>1.05</v>
      </c>
      <c r="J26" s="234">
        <v>1.05</v>
      </c>
      <c r="K26" s="72">
        <v>26.01</v>
      </c>
      <c r="L26" s="73">
        <v>26.15</v>
      </c>
      <c r="M26" s="275"/>
      <c r="N26" s="177"/>
      <c r="O26" s="177"/>
      <c r="P26" s="178"/>
      <c r="Q26" s="274" t="s">
        <v>94</v>
      </c>
      <c r="R26" s="145">
        <v>75</v>
      </c>
      <c r="S26" s="64">
        <f t="shared" si="0"/>
        <v>13.48985304046179</v>
      </c>
      <c r="T26" s="143">
        <v>3</v>
      </c>
      <c r="V26" s="143">
        <f t="shared" si="5"/>
        <v>14</v>
      </c>
      <c r="W26" s="284">
        <f t="shared" si="2"/>
        <v>1.0000000000000009E-2</v>
      </c>
      <c r="X26" s="143">
        <f t="shared" si="1"/>
        <v>0</v>
      </c>
      <c r="Y26" s="143">
        <f>IF(OR(K26&gt;Cuts!$B$16, L26&gt;Cuts!B$16), 1,0)</f>
        <v>0</v>
      </c>
      <c r="Z26" s="246">
        <f>IF(OR(C26&gt;Cuts!$C$16, D26&gt;Cuts!$C$16),1,0)</f>
        <v>0</v>
      </c>
      <c r="AA26" s="143">
        <f t="shared" si="3"/>
        <v>0</v>
      </c>
    </row>
    <row r="27" spans="1:28">
      <c r="A27" s="804">
        <f t="shared" si="4"/>
        <v>15</v>
      </c>
      <c r="B27" s="159"/>
      <c r="C27" s="257">
        <v>204</v>
      </c>
      <c r="D27" s="54">
        <v>204</v>
      </c>
      <c r="E27" s="233">
        <v>0.95</v>
      </c>
      <c r="F27" s="71">
        <v>0.98</v>
      </c>
      <c r="G27" s="71">
        <v>0.97</v>
      </c>
      <c r="H27" s="71">
        <v>0.98</v>
      </c>
      <c r="I27" s="71">
        <v>0.98</v>
      </c>
      <c r="J27" s="234">
        <v>0.99</v>
      </c>
      <c r="K27" s="72">
        <v>25.97</v>
      </c>
      <c r="L27" s="73">
        <v>25.83</v>
      </c>
      <c r="M27" s="275"/>
      <c r="N27" s="177"/>
      <c r="O27" s="177"/>
      <c r="P27" s="178"/>
      <c r="Q27" s="276"/>
      <c r="R27" s="145">
        <v>69.8</v>
      </c>
      <c r="S27" s="64">
        <f t="shared" si="0"/>
        <v>13.549425314131195</v>
      </c>
      <c r="T27" s="143">
        <v>3</v>
      </c>
      <c r="V27" s="803">
        <f t="shared" si="5"/>
        <v>15</v>
      </c>
      <c r="W27" s="284">
        <f t="shared" si="2"/>
        <v>4.0000000000000036E-2</v>
      </c>
      <c r="X27" s="143">
        <f t="shared" si="1"/>
        <v>0</v>
      </c>
      <c r="Y27" s="143">
        <f>IF(OR(K27&gt;Cuts!$B$16, L27&gt;Cuts!B$16), 1,0)</f>
        <v>0</v>
      </c>
      <c r="Z27" s="246">
        <f>IF(OR(C27&gt;Cuts!$C$16, D27&gt;Cuts!$C$16),1,0)</f>
        <v>0</v>
      </c>
      <c r="AA27" s="143">
        <f t="shared" si="3"/>
        <v>0</v>
      </c>
    </row>
    <row r="28" spans="1:28">
      <c r="A28" s="66">
        <f t="shared" si="4"/>
        <v>16</v>
      </c>
      <c r="B28" s="159"/>
      <c r="C28" s="257">
        <v>204</v>
      </c>
      <c r="D28" s="54">
        <v>204</v>
      </c>
      <c r="E28" s="233">
        <v>1.04</v>
      </c>
      <c r="F28" s="71">
        <v>1.04</v>
      </c>
      <c r="G28" s="71">
        <v>1.04</v>
      </c>
      <c r="H28" s="71">
        <v>1.04</v>
      </c>
      <c r="I28" s="71">
        <v>1.03</v>
      </c>
      <c r="J28" s="234">
        <v>1.03</v>
      </c>
      <c r="K28" s="72">
        <v>26.03</v>
      </c>
      <c r="L28" s="73">
        <v>26</v>
      </c>
      <c r="M28" s="275"/>
      <c r="N28" s="177"/>
      <c r="O28" s="177"/>
      <c r="P28" s="178"/>
      <c r="Q28" s="276"/>
      <c r="R28" s="145">
        <v>73.599999999999994</v>
      </c>
      <c r="S28" s="64">
        <f t="shared" si="0"/>
        <v>13.377799490851126</v>
      </c>
      <c r="T28" s="143">
        <v>3</v>
      </c>
      <c r="V28" s="143">
        <f t="shared" si="5"/>
        <v>16</v>
      </c>
      <c r="W28" s="284">
        <f t="shared" si="2"/>
        <v>1.0000000000000009E-2</v>
      </c>
      <c r="X28" s="143">
        <f t="shared" si="1"/>
        <v>0</v>
      </c>
      <c r="Y28" s="143">
        <f>IF(OR(K28&gt;Cuts!$B$16, L28&gt;Cuts!B$16), 1,0)</f>
        <v>0</v>
      </c>
      <c r="Z28" s="246">
        <f>IF(OR(C28&gt;Cuts!$C$16, D28&gt;Cuts!$C$16),1,0)</f>
        <v>0</v>
      </c>
      <c r="AA28" s="143">
        <f t="shared" si="3"/>
        <v>0</v>
      </c>
    </row>
    <row r="29" spans="1:28">
      <c r="A29" s="66">
        <f t="shared" si="4"/>
        <v>17</v>
      </c>
      <c r="B29" s="140"/>
      <c r="C29" s="257">
        <v>204</v>
      </c>
      <c r="D29" s="54">
        <v>204</v>
      </c>
      <c r="E29" s="235">
        <v>1</v>
      </c>
      <c r="F29" s="107">
        <v>1.02</v>
      </c>
      <c r="G29" s="107">
        <v>1.01</v>
      </c>
      <c r="H29" s="107">
        <v>1.02</v>
      </c>
      <c r="I29" s="107">
        <v>1</v>
      </c>
      <c r="J29" s="260">
        <v>1.02</v>
      </c>
      <c r="K29" s="72">
        <v>26.15</v>
      </c>
      <c r="L29" s="73">
        <v>26</v>
      </c>
      <c r="M29" s="275"/>
      <c r="N29" s="177"/>
      <c r="O29" s="177"/>
      <c r="P29" s="178"/>
      <c r="Q29" s="276"/>
      <c r="R29" s="145">
        <v>72.599999999999994</v>
      </c>
      <c r="S29" s="64">
        <f t="shared" si="0"/>
        <v>13.491017184601249</v>
      </c>
      <c r="T29" s="143">
        <v>3</v>
      </c>
      <c r="V29" s="143">
        <f t="shared" si="5"/>
        <v>17</v>
      </c>
      <c r="W29" s="284">
        <f t="shared" si="2"/>
        <v>2.0000000000000018E-2</v>
      </c>
      <c r="X29" s="143">
        <f t="shared" si="1"/>
        <v>0</v>
      </c>
      <c r="Y29" s="143">
        <f>IF(OR(K29&gt;Cuts!$B$16, L29&gt;Cuts!B$16), 1,0)</f>
        <v>0</v>
      </c>
      <c r="Z29" s="246">
        <f>IF(OR(C29&gt;Cuts!$C$16, D29&gt;Cuts!$C$16),1,0)</f>
        <v>0</v>
      </c>
      <c r="AA29" s="143">
        <f t="shared" si="3"/>
        <v>0</v>
      </c>
    </row>
    <row r="30" spans="1:28">
      <c r="A30" s="66">
        <f t="shared" si="4"/>
        <v>18</v>
      </c>
      <c r="B30" s="140"/>
      <c r="C30" s="257">
        <v>204</v>
      </c>
      <c r="D30" s="54">
        <v>204</v>
      </c>
      <c r="E30" s="72">
        <v>1.01</v>
      </c>
      <c r="F30" s="102">
        <v>1.02</v>
      </c>
      <c r="G30" s="102">
        <v>1.02</v>
      </c>
      <c r="H30" s="102">
        <v>1.01</v>
      </c>
      <c r="I30" s="101">
        <v>1.01</v>
      </c>
      <c r="J30" s="73">
        <v>1</v>
      </c>
      <c r="K30" s="72">
        <v>26.21</v>
      </c>
      <c r="L30" s="73">
        <v>26.25</v>
      </c>
      <c r="M30" s="277"/>
      <c r="N30" s="180"/>
      <c r="O30" s="180" t="s">
        <v>89</v>
      </c>
      <c r="P30" s="178" t="s">
        <v>89</v>
      </c>
      <c r="Q30" s="274" t="s">
        <v>93</v>
      </c>
      <c r="R30" s="145">
        <v>71.8</v>
      </c>
      <c r="S30" s="64">
        <f t="shared" si="0"/>
        <v>13.263512332498742</v>
      </c>
      <c r="T30" s="143">
        <v>3</v>
      </c>
      <c r="V30" s="143">
        <f t="shared" si="5"/>
        <v>18</v>
      </c>
      <c r="W30" s="284">
        <f t="shared" si="2"/>
        <v>2.0000000000000018E-2</v>
      </c>
      <c r="X30" s="143">
        <f t="shared" si="1"/>
        <v>0</v>
      </c>
      <c r="Y30" s="143">
        <f>IF(OR(K30&gt;Cuts!$B$16, L30&gt;Cuts!B$16), 1,0)</f>
        <v>0</v>
      </c>
      <c r="Z30" s="246">
        <f>IF(OR(C30&gt;Cuts!$C$16, D30&gt;Cuts!$C$16),1,0)</f>
        <v>0</v>
      </c>
      <c r="AA30" s="143">
        <f t="shared" si="3"/>
        <v>0</v>
      </c>
    </row>
    <row r="31" spans="1:28">
      <c r="A31" s="66">
        <f t="shared" si="4"/>
        <v>19</v>
      </c>
      <c r="B31" s="140"/>
      <c r="C31" s="257">
        <v>204</v>
      </c>
      <c r="D31" s="54">
        <v>204</v>
      </c>
      <c r="E31" s="72">
        <v>1.03</v>
      </c>
      <c r="F31" s="102">
        <v>1.03</v>
      </c>
      <c r="G31" s="102">
        <v>1.03</v>
      </c>
      <c r="H31" s="102">
        <v>1.04</v>
      </c>
      <c r="I31" s="101">
        <v>1.04</v>
      </c>
      <c r="J31" s="73">
        <v>1.04</v>
      </c>
      <c r="K31" s="72">
        <v>26.02</v>
      </c>
      <c r="L31" s="73">
        <v>25.98</v>
      </c>
      <c r="M31" s="277" t="s">
        <v>89</v>
      </c>
      <c r="N31" s="180"/>
      <c r="O31" s="180" t="s">
        <v>88</v>
      </c>
      <c r="P31" s="178" t="s">
        <v>88</v>
      </c>
      <c r="Q31" s="276" t="s">
        <v>92</v>
      </c>
      <c r="R31" s="145">
        <v>73.5</v>
      </c>
      <c r="S31" s="64">
        <f t="shared" si="0"/>
        <v>13.388856099853543</v>
      </c>
      <c r="T31" s="143">
        <v>3</v>
      </c>
      <c r="V31" s="143">
        <f t="shared" si="5"/>
        <v>19</v>
      </c>
      <c r="W31" s="284">
        <f t="shared" si="2"/>
        <v>1.0000000000000009E-2</v>
      </c>
      <c r="X31" s="143">
        <f t="shared" si="1"/>
        <v>0</v>
      </c>
      <c r="Y31" s="143">
        <f>IF(OR(K31&gt;Cuts!$B$16, L31&gt;Cuts!B$16), 1,0)</f>
        <v>0</v>
      </c>
      <c r="Z31" s="246">
        <f>IF(OR(C31&gt;Cuts!$C$16, D31&gt;Cuts!$C$16),1,0)</f>
        <v>0</v>
      </c>
      <c r="AA31" s="143">
        <f t="shared" si="3"/>
        <v>1</v>
      </c>
    </row>
    <row r="32" spans="1:28">
      <c r="A32" s="66">
        <f t="shared" si="4"/>
        <v>20</v>
      </c>
      <c r="B32" s="140"/>
      <c r="C32" s="257">
        <v>204</v>
      </c>
      <c r="D32" s="54">
        <v>204</v>
      </c>
      <c r="E32" s="72">
        <v>1.07</v>
      </c>
      <c r="F32" s="102">
        <v>1.06</v>
      </c>
      <c r="G32" s="102">
        <v>1.06</v>
      </c>
      <c r="H32" s="102">
        <v>1.06</v>
      </c>
      <c r="I32" s="101">
        <v>1.05</v>
      </c>
      <c r="J32" s="73">
        <v>1.05</v>
      </c>
      <c r="K32" s="72">
        <v>26.16</v>
      </c>
      <c r="L32" s="73">
        <v>26.01</v>
      </c>
      <c r="M32" s="277"/>
      <c r="N32" s="180" t="s">
        <v>89</v>
      </c>
      <c r="O32" s="180" t="s">
        <v>89</v>
      </c>
      <c r="P32" s="178"/>
      <c r="Q32" s="274" t="s">
        <v>93</v>
      </c>
      <c r="R32" s="145">
        <v>75.3</v>
      </c>
      <c r="S32" s="64">
        <f t="shared" si="0"/>
        <v>13.370618359137472</v>
      </c>
      <c r="T32" s="143">
        <v>3</v>
      </c>
      <c r="V32" s="143">
        <f t="shared" si="5"/>
        <v>20</v>
      </c>
      <c r="W32" s="284">
        <f t="shared" si="2"/>
        <v>2.0000000000000018E-2</v>
      </c>
      <c r="X32" s="143">
        <f t="shared" si="1"/>
        <v>0</v>
      </c>
      <c r="Y32" s="143">
        <f>IF(OR(K32&gt;Cuts!$B$16, L32&gt;Cuts!B$16), 1,0)</f>
        <v>0</v>
      </c>
      <c r="Z32" s="246">
        <f>IF(OR(C32&gt;Cuts!$C$16, D32&gt;Cuts!$C$16),1,0)</f>
        <v>0</v>
      </c>
      <c r="AA32" s="143">
        <f t="shared" si="3"/>
        <v>0</v>
      </c>
    </row>
    <row r="33" spans="1:27">
      <c r="A33" s="66">
        <f t="shared" si="4"/>
        <v>21</v>
      </c>
      <c r="B33" s="140"/>
      <c r="C33" s="257">
        <v>204</v>
      </c>
      <c r="D33" s="54">
        <v>204</v>
      </c>
      <c r="E33" s="72">
        <v>1.02</v>
      </c>
      <c r="F33" s="102">
        <v>1.03</v>
      </c>
      <c r="G33" s="102">
        <v>1.03</v>
      </c>
      <c r="H33" s="102">
        <v>1.03</v>
      </c>
      <c r="I33" s="101">
        <v>1.03</v>
      </c>
      <c r="J33" s="73">
        <v>1.03</v>
      </c>
      <c r="K33" s="72">
        <v>26</v>
      </c>
      <c r="L33" s="73">
        <v>26</v>
      </c>
      <c r="M33" s="277"/>
      <c r="N33" s="180"/>
      <c r="O33" s="180"/>
      <c r="P33" s="178"/>
      <c r="Q33" s="276"/>
      <c r="R33" s="145">
        <v>73.400000000000006</v>
      </c>
      <c r="S33" s="64">
        <f t="shared" si="0"/>
        <v>13.457321589650695</v>
      </c>
      <c r="T33" s="143">
        <v>3</v>
      </c>
      <c r="V33" s="143">
        <f t="shared" si="5"/>
        <v>21</v>
      </c>
      <c r="W33" s="284">
        <f t="shared" si="2"/>
        <v>1.0000000000000009E-2</v>
      </c>
      <c r="X33" s="143">
        <f t="shared" si="1"/>
        <v>0</v>
      </c>
      <c r="Y33" s="143">
        <f>IF(OR(K33&gt;Cuts!$B$16, L33&gt;Cuts!B$16), 1,0)</f>
        <v>0</v>
      </c>
      <c r="Z33" s="246">
        <f>IF(OR(C33&gt;Cuts!$C$16, D33&gt;Cuts!$C$16),1,0)</f>
        <v>0</v>
      </c>
      <c r="AA33" s="143">
        <f t="shared" si="3"/>
        <v>0</v>
      </c>
    </row>
    <row r="34" spans="1:27">
      <c r="A34" s="66">
        <f t="shared" si="4"/>
        <v>22</v>
      </c>
      <c r="B34" s="140"/>
      <c r="C34" s="257">
        <v>204</v>
      </c>
      <c r="D34" s="54">
        <v>204</v>
      </c>
      <c r="E34" s="72">
        <v>1.03</v>
      </c>
      <c r="F34" s="102">
        <v>1.04</v>
      </c>
      <c r="G34" s="102">
        <v>1.03</v>
      </c>
      <c r="H34" s="102">
        <v>1.03</v>
      </c>
      <c r="I34" s="101">
        <v>1.03</v>
      </c>
      <c r="J34" s="73">
        <v>1.03</v>
      </c>
      <c r="K34" s="72">
        <v>25.92</v>
      </c>
      <c r="L34" s="73">
        <v>25.98</v>
      </c>
      <c r="M34" s="277"/>
      <c r="N34" s="180"/>
      <c r="O34" s="180"/>
      <c r="P34" s="178"/>
      <c r="Q34" s="276"/>
      <c r="R34" s="145">
        <v>73.099999999999994</v>
      </c>
      <c r="S34" s="64">
        <f t="shared" si="0"/>
        <v>13.384755697081182</v>
      </c>
      <c r="T34" s="143">
        <v>3</v>
      </c>
      <c r="V34" s="143">
        <f t="shared" si="5"/>
        <v>22</v>
      </c>
      <c r="W34" s="284">
        <f t="shared" si="2"/>
        <v>1.0000000000000009E-2</v>
      </c>
      <c r="X34" s="143">
        <f t="shared" si="1"/>
        <v>0</v>
      </c>
      <c r="Y34" s="143">
        <f>IF(OR(K34&gt;Cuts!$B$16, L34&gt;Cuts!B$16), 1,0)</f>
        <v>0</v>
      </c>
      <c r="Z34" s="246">
        <f>IF(OR(C34&gt;Cuts!$C$16, D34&gt;Cuts!$C$16),1,0)</f>
        <v>0</v>
      </c>
      <c r="AA34" s="143">
        <f t="shared" si="3"/>
        <v>0</v>
      </c>
    </row>
    <row r="35" spans="1:27">
      <c r="A35" s="66">
        <f t="shared" si="4"/>
        <v>23</v>
      </c>
      <c r="B35" s="140"/>
      <c r="C35" s="257">
        <v>204</v>
      </c>
      <c r="D35" s="54">
        <v>204</v>
      </c>
      <c r="E35" s="72">
        <v>1.02</v>
      </c>
      <c r="F35" s="102">
        <v>1.01</v>
      </c>
      <c r="G35" s="102">
        <v>1.02</v>
      </c>
      <c r="H35" s="102">
        <v>1.01</v>
      </c>
      <c r="I35" s="101">
        <v>1.02</v>
      </c>
      <c r="J35" s="73">
        <v>1.01</v>
      </c>
      <c r="K35" s="72">
        <v>26.14</v>
      </c>
      <c r="L35" s="73">
        <v>26.06</v>
      </c>
      <c r="M35" s="277"/>
      <c r="N35" s="180" t="s">
        <v>89</v>
      </c>
      <c r="O35" s="180"/>
      <c r="P35" s="178" t="s">
        <v>89</v>
      </c>
      <c r="Q35" s="276"/>
      <c r="R35" s="145">
        <v>72.099999999999994</v>
      </c>
      <c r="S35" s="64">
        <f t="shared" si="0"/>
        <v>13.341312215201842</v>
      </c>
      <c r="T35" s="143">
        <v>3</v>
      </c>
      <c r="V35" s="143">
        <f t="shared" si="5"/>
        <v>23</v>
      </c>
      <c r="W35" s="284">
        <f t="shared" si="2"/>
        <v>1.0000000000000009E-2</v>
      </c>
      <c r="X35" s="143">
        <f t="shared" si="1"/>
        <v>0</v>
      </c>
      <c r="Y35" s="143">
        <f>IF(OR(K35&gt;Cuts!$B$16, L35&gt;Cuts!B$16), 1,0)</f>
        <v>0</v>
      </c>
      <c r="Z35" s="246">
        <f>IF(OR(C35&gt;Cuts!$C$16, D35&gt;Cuts!$C$16),1,0)</f>
        <v>0</v>
      </c>
      <c r="AA35" s="143">
        <f t="shared" si="3"/>
        <v>0</v>
      </c>
    </row>
    <row r="36" spans="1:27">
      <c r="A36" s="808">
        <f t="shared" si="4"/>
        <v>24</v>
      </c>
      <c r="B36" s="130"/>
      <c r="C36" s="258">
        <v>204</v>
      </c>
      <c r="D36" s="259">
        <v>204</v>
      </c>
      <c r="E36" s="88">
        <v>1.03</v>
      </c>
      <c r="F36" s="115">
        <v>1.04</v>
      </c>
      <c r="G36" s="115">
        <v>1.04</v>
      </c>
      <c r="H36" s="115">
        <v>1.05</v>
      </c>
      <c r="I36" s="168">
        <v>1.07</v>
      </c>
      <c r="J36" s="89">
        <v>1.07</v>
      </c>
      <c r="K36" s="88">
        <v>26.23</v>
      </c>
      <c r="L36" s="89">
        <v>25.98</v>
      </c>
      <c r="M36" s="278"/>
      <c r="N36" s="185"/>
      <c r="O36" s="185"/>
      <c r="P36" s="186"/>
      <c r="Q36" s="279"/>
      <c r="R36" s="151">
        <v>75.099999999999994</v>
      </c>
      <c r="S36" s="96">
        <f t="shared" si="0"/>
        <v>13.430642000782944</v>
      </c>
      <c r="T36" s="152">
        <v>3</v>
      </c>
      <c r="U36" s="111"/>
      <c r="V36" s="807">
        <f t="shared" si="5"/>
        <v>24</v>
      </c>
      <c r="W36" s="284">
        <f t="shared" si="2"/>
        <v>4.0000000000000036E-2</v>
      </c>
      <c r="X36" s="152">
        <f t="shared" si="1"/>
        <v>0</v>
      </c>
      <c r="Y36" s="152">
        <f>IF(OR(K36&gt;Cuts!$B$16, L36&gt;Cuts!B$16), 1,0)</f>
        <v>0</v>
      </c>
      <c r="Z36" s="248">
        <f>IF(OR(C36&gt;Cuts!$C$16, D36&gt;Cuts!$C$16),1,0)</f>
        <v>0</v>
      </c>
      <c r="AA36" s="152">
        <f t="shared" si="3"/>
        <v>0</v>
      </c>
    </row>
    <row r="37" spans="1:27" s="97" customFormat="1">
      <c r="Y37" s="97">
        <f>SUM(Y12:Y36)</f>
        <v>0</v>
      </c>
      <c r="Z37" s="97">
        <f>SUM(Z12:Z36)</f>
        <v>0</v>
      </c>
      <c r="AA37" s="97">
        <f>SUM(AA12:AA36)</f>
        <v>6</v>
      </c>
    </row>
    <row r="39" spans="1:27">
      <c r="A39" s="66" t="s">
        <v>114</v>
      </c>
      <c r="C39" s="57" t="s">
        <v>132</v>
      </c>
      <c r="E39" s="57" t="s">
        <v>133</v>
      </c>
      <c r="K39" s="57" t="s">
        <v>130</v>
      </c>
      <c r="R39" s="57" t="s">
        <v>134</v>
      </c>
      <c r="S39" s="57" t="s">
        <v>135</v>
      </c>
    </row>
    <row r="40" spans="1:27">
      <c r="A40" s="66"/>
    </row>
    <row r="41" spans="1:27">
      <c r="A41" s="57" t="s">
        <v>116</v>
      </c>
      <c r="C41" s="57">
        <f>8*25.4</f>
        <v>203.2</v>
      </c>
      <c r="E41" s="57">
        <f>C6</f>
        <v>1.016</v>
      </c>
      <c r="K41" s="102">
        <v>25.4</v>
      </c>
    </row>
    <row r="42" spans="1:27">
      <c r="A42" s="57" t="s">
        <v>111</v>
      </c>
      <c r="C42" s="57">
        <f>MODE(C12:D36)</f>
        <v>204</v>
      </c>
      <c r="E42" s="57">
        <f>MODE(E12:J36)</f>
        <v>1.03</v>
      </c>
      <c r="K42" s="57">
        <f>MODE(K12:L36)</f>
        <v>26</v>
      </c>
      <c r="R42" s="57">
        <f>MODE(R12:R36)</f>
        <v>73.5</v>
      </c>
      <c r="S42" s="57" t="e">
        <f>MODE(S12:S36)</f>
        <v>#N/A</v>
      </c>
    </row>
    <row r="43" spans="1:27">
      <c r="A43" s="57" t="s">
        <v>110</v>
      </c>
      <c r="C43" s="121">
        <f>AVERAGE(C12:D36)</f>
        <v>204</v>
      </c>
      <c r="D43" s="121"/>
      <c r="E43" s="65">
        <f>AVERAGE(E12:J36)</f>
        <v>1.0238666666666671</v>
      </c>
      <c r="K43" s="153">
        <f>AVERAGE(K12:L36)</f>
        <v>26.022000000000006</v>
      </c>
      <c r="R43" s="104">
        <f>AVERAGE(R12:R36)</f>
        <v>73.059999999999988</v>
      </c>
      <c r="S43" s="104">
        <f>AVERAGE(S12:S36)</f>
        <v>13.443554534211135</v>
      </c>
    </row>
    <row r="44" spans="1:27">
      <c r="A44" s="57" t="s">
        <v>117</v>
      </c>
      <c r="C44" s="57">
        <f>STDEV(C12:D36)</f>
        <v>0</v>
      </c>
      <c r="E44" s="57">
        <f>STDEV(E12:J36)</f>
        <v>2.4680146265506644E-2</v>
      </c>
      <c r="K44" s="57">
        <f>STDEV(K12:L36)</f>
        <v>0.16281954453110556</v>
      </c>
      <c r="R44" s="57">
        <f>STDEV(R12:R36)</f>
        <v>1.4422205101862011</v>
      </c>
      <c r="S44" s="57">
        <f>STDEV(S12:S36)</f>
        <v>8.4959681358698191E-2</v>
      </c>
    </row>
    <row r="45" spans="1:27">
      <c r="A45" s="154" t="s">
        <v>118</v>
      </c>
      <c r="E45" s="65">
        <f>E43+E44</f>
        <v>1.0485468129321738</v>
      </c>
      <c r="K45" s="153">
        <f>K43+K44</f>
        <v>26.184819544531113</v>
      </c>
      <c r="R45" s="57">
        <f>R43+R44</f>
        <v>74.502220510186191</v>
      </c>
      <c r="S45" s="104">
        <f>S43+S44</f>
        <v>13.528514215569833</v>
      </c>
    </row>
    <row r="46" spans="1:27">
      <c r="A46" s="154" t="s">
        <v>119</v>
      </c>
      <c r="E46" s="65">
        <f>E43-E44</f>
        <v>0.99918652040116052</v>
      </c>
      <c r="K46" s="153">
        <f>K43-K44</f>
        <v>25.859180455468898</v>
      </c>
      <c r="R46" s="57">
        <f>R43-R44</f>
        <v>71.617779489813785</v>
      </c>
      <c r="S46" s="104">
        <f>S43-S44</f>
        <v>13.358594852852436</v>
      </c>
    </row>
    <row r="47" spans="1:27">
      <c r="A47" s="57" t="s">
        <v>124</v>
      </c>
      <c r="C47" s="153">
        <f>MAX(C12:D36)-C41</f>
        <v>0.80000000000001137</v>
      </c>
      <c r="E47" s="65">
        <f>MAX(E12:H36)-E41</f>
        <v>5.4000000000000048E-2</v>
      </c>
      <c r="K47" s="153">
        <f>MAX(K12:L36)-$K41</f>
        <v>1.4000000000000021</v>
      </c>
    </row>
    <row r="48" spans="1:27">
      <c r="A48" s="57" t="s">
        <v>125</v>
      </c>
      <c r="C48" s="153">
        <f>MIN(C12:D36)-C41</f>
        <v>0.80000000000001137</v>
      </c>
      <c r="E48" s="65">
        <f>MIN(E12:H36)-E41</f>
        <v>-6.6000000000000059E-2</v>
      </c>
      <c r="K48" s="153">
        <f>MIN(K12:L36)-K41</f>
        <v>0.25</v>
      </c>
    </row>
    <row r="49" spans="1:4" ht="15.75" thickBot="1"/>
    <row r="50" spans="1:4">
      <c r="A50" s="57" t="s">
        <v>146</v>
      </c>
      <c r="C50" s="40" t="s">
        <v>147</v>
      </c>
      <c r="D50" s="40" t="s">
        <v>149</v>
      </c>
    </row>
    <row r="51" spans="1:4">
      <c r="A51" s="57">
        <v>0.94</v>
      </c>
      <c r="C51" s="123">
        <v>0.94</v>
      </c>
      <c r="D51" s="124">
        <v>0</v>
      </c>
    </row>
    <row r="52" spans="1:4">
      <c r="A52" s="57">
        <f>A51+0.01</f>
        <v>0.95</v>
      </c>
      <c r="C52" s="123">
        <v>0.95</v>
      </c>
      <c r="D52" s="124">
        <v>5</v>
      </c>
    </row>
    <row r="53" spans="1:4">
      <c r="A53" s="57">
        <f t="shared" ref="A53:A64" si="6">A52+0.01</f>
        <v>0.96</v>
      </c>
      <c r="C53" s="123">
        <v>0.96</v>
      </c>
      <c r="D53" s="124">
        <v>2</v>
      </c>
    </row>
    <row r="54" spans="1:4">
      <c r="A54" s="57">
        <f t="shared" si="6"/>
        <v>0.97</v>
      </c>
      <c r="C54" s="123">
        <v>0.97</v>
      </c>
      <c r="D54" s="124">
        <v>1</v>
      </c>
    </row>
    <row r="55" spans="1:4">
      <c r="A55" s="57">
        <f t="shared" si="6"/>
        <v>0.98</v>
      </c>
      <c r="C55" s="123">
        <v>0.98</v>
      </c>
      <c r="D55" s="124">
        <v>3</v>
      </c>
    </row>
    <row r="56" spans="1:4">
      <c r="A56" s="57">
        <f t="shared" si="6"/>
        <v>0.99</v>
      </c>
      <c r="C56" s="123">
        <v>0.99</v>
      </c>
      <c r="D56" s="124">
        <v>3</v>
      </c>
    </row>
    <row r="57" spans="1:4">
      <c r="A57" s="57">
        <f t="shared" si="6"/>
        <v>1</v>
      </c>
      <c r="C57" s="123">
        <v>1</v>
      </c>
      <c r="D57" s="124">
        <v>15</v>
      </c>
    </row>
    <row r="58" spans="1:4">
      <c r="A58" s="57">
        <f t="shared" si="6"/>
        <v>1.01</v>
      </c>
      <c r="C58" s="123">
        <v>1.01</v>
      </c>
      <c r="D58" s="124">
        <v>13</v>
      </c>
    </row>
    <row r="59" spans="1:4">
      <c r="A59" s="57">
        <f t="shared" si="6"/>
        <v>1.02</v>
      </c>
      <c r="C59" s="123">
        <v>1.02</v>
      </c>
      <c r="D59" s="124">
        <v>16</v>
      </c>
    </row>
    <row r="60" spans="1:4">
      <c r="A60" s="57">
        <f>A59+0.01</f>
        <v>1.03</v>
      </c>
      <c r="C60" s="123">
        <v>1.03</v>
      </c>
      <c r="D60" s="124">
        <v>44</v>
      </c>
    </row>
    <row r="61" spans="1:4">
      <c r="A61" s="57">
        <f t="shared" si="6"/>
        <v>1.04</v>
      </c>
      <c r="C61" s="123">
        <v>1.04</v>
      </c>
      <c r="D61" s="124">
        <v>27</v>
      </c>
    </row>
    <row r="62" spans="1:4">
      <c r="A62" s="57">
        <f t="shared" si="6"/>
        <v>1.05</v>
      </c>
      <c r="C62" s="123">
        <v>1.05</v>
      </c>
      <c r="D62" s="124">
        <v>12</v>
      </c>
    </row>
    <row r="63" spans="1:4">
      <c r="A63" s="57">
        <f t="shared" si="6"/>
        <v>1.06</v>
      </c>
      <c r="C63" s="123">
        <v>1.06</v>
      </c>
      <c r="D63" s="124">
        <v>5</v>
      </c>
    </row>
    <row r="64" spans="1:4">
      <c r="A64" s="57">
        <f t="shared" si="6"/>
        <v>1.07</v>
      </c>
      <c r="C64" s="123">
        <v>1.07</v>
      </c>
      <c r="D64" s="124">
        <v>4</v>
      </c>
    </row>
    <row r="65" spans="1:4">
      <c r="A65" s="57">
        <v>1.08</v>
      </c>
      <c r="C65" s="123">
        <v>1.08</v>
      </c>
      <c r="D65" s="124">
        <v>0</v>
      </c>
    </row>
    <row r="66" spans="1:4">
      <c r="A66" s="57">
        <v>1.0900000000000001</v>
      </c>
      <c r="C66" s="123">
        <v>1.0900000000000001</v>
      </c>
      <c r="D66" s="124">
        <v>0</v>
      </c>
    </row>
    <row r="67" spans="1:4" ht="15.75" thickBot="1">
      <c r="C67" s="125" t="s">
        <v>148</v>
      </c>
      <c r="D67" s="125">
        <v>0</v>
      </c>
    </row>
  </sheetData>
  <sortState ref="C51:C66">
    <sortCondition ref="C51"/>
  </sortState>
  <mergeCells count="4">
    <mergeCell ref="C9:D9"/>
    <mergeCell ref="E9:I9"/>
    <mergeCell ref="K9:L9"/>
    <mergeCell ref="M9:P9"/>
  </mergeCells>
  <pageMargins left="0.25" right="0.25" top="0.25" bottom="0.25" header="0.3" footer="0.3"/>
  <pageSetup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B61"/>
  <sheetViews>
    <sheetView topLeftCell="A3" zoomScale="70" zoomScaleNormal="70" workbookViewId="0">
      <selection activeCell="AE29" sqref="AE29"/>
    </sheetView>
  </sheetViews>
  <sheetFormatPr defaultRowHeight="15"/>
  <cols>
    <col min="1" max="1" width="6.28515625" style="57" customWidth="1"/>
    <col min="2" max="2" width="16.140625" style="57" customWidth="1"/>
    <col min="3" max="4" width="5.140625" style="57" customWidth="1"/>
    <col min="5" max="9" width="6.85546875" style="57" customWidth="1"/>
    <col min="10" max="10" width="6.85546875" style="57" bestFit="1" customWidth="1"/>
    <col min="11" max="12" width="6.85546875" style="57" customWidth="1"/>
    <col min="13" max="16" width="3.7109375" style="57" customWidth="1"/>
    <col min="17" max="17" width="10.7109375" style="57" customWidth="1"/>
    <col min="18" max="18" width="5.5703125" style="57" customWidth="1"/>
    <col min="19" max="19" width="5.140625" style="57" customWidth="1"/>
    <col min="20" max="20" width="9.85546875" style="57" customWidth="1"/>
    <col min="21" max="16384" width="9.140625" style="57"/>
  </cols>
  <sheetData>
    <row r="1" spans="1:28">
      <c r="A1" s="57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127"/>
      <c r="S1" s="127"/>
      <c r="T1" s="127"/>
    </row>
    <row r="2" spans="1:28">
      <c r="A2" s="57" t="s">
        <v>1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127"/>
      <c r="S2" s="127"/>
      <c r="T2" s="127"/>
    </row>
    <row r="3" spans="1:28">
      <c r="A3" s="57" t="s">
        <v>58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127"/>
      <c r="S3" s="127"/>
      <c r="T3" s="127"/>
    </row>
    <row r="4" spans="1:28"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127"/>
      <c r="S4" s="127"/>
      <c r="T4" s="127"/>
    </row>
    <row r="5" spans="1:28">
      <c r="B5" s="52" t="s">
        <v>112</v>
      </c>
      <c r="C5" s="52" t="s">
        <v>113</v>
      </c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127"/>
      <c r="S5" s="127"/>
      <c r="T5" s="127"/>
    </row>
    <row r="6" spans="1:28">
      <c r="A6" s="57" t="s">
        <v>77</v>
      </c>
      <c r="B6" s="66">
        <v>0.04</v>
      </c>
      <c r="C6" s="57">
        <v>1.016</v>
      </c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127"/>
      <c r="S6" s="127"/>
      <c r="T6" s="127"/>
    </row>
    <row r="7" spans="1:28">
      <c r="B7" s="6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127"/>
      <c r="S7" s="127"/>
      <c r="T7" s="127"/>
    </row>
    <row r="8" spans="1:28">
      <c r="A8" s="3" t="s">
        <v>121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127"/>
      <c r="S8" s="127"/>
      <c r="T8" s="127"/>
      <c r="V8" s="100" t="s">
        <v>157</v>
      </c>
      <c r="Y8" s="100"/>
    </row>
    <row r="9" spans="1:28" ht="45">
      <c r="A9" s="111" t="s">
        <v>216</v>
      </c>
      <c r="B9" s="281" t="s">
        <v>60</v>
      </c>
      <c r="C9" s="767" t="s">
        <v>61</v>
      </c>
      <c r="D9" s="768"/>
      <c r="E9" s="766" t="s">
        <v>62</v>
      </c>
      <c r="F9" s="766"/>
      <c r="G9" s="766"/>
      <c r="H9" s="766"/>
      <c r="I9" s="766"/>
      <c r="J9" s="129"/>
      <c r="K9" s="767" t="s">
        <v>63</v>
      </c>
      <c r="L9" s="768"/>
      <c r="M9" s="767" t="s">
        <v>64</v>
      </c>
      <c r="N9" s="765"/>
      <c r="O9" s="765"/>
      <c r="P9" s="765"/>
      <c r="Q9" s="130" t="s">
        <v>91</v>
      </c>
      <c r="R9" s="39" t="s">
        <v>220</v>
      </c>
      <c r="S9" s="228" t="s">
        <v>221</v>
      </c>
      <c r="T9" s="155" t="s">
        <v>101</v>
      </c>
      <c r="V9" s="152" t="s">
        <v>216</v>
      </c>
      <c r="W9" s="46" t="s">
        <v>631</v>
      </c>
      <c r="X9" s="133" t="s">
        <v>123</v>
      </c>
      <c r="Y9" s="134" t="s">
        <v>155</v>
      </c>
      <c r="Z9" s="152" t="s">
        <v>196</v>
      </c>
      <c r="AA9" s="46" t="s">
        <v>223</v>
      </c>
      <c r="AB9" s="802" t="s">
        <v>628</v>
      </c>
    </row>
    <row r="10" spans="1:28">
      <c r="A10" s="66"/>
      <c r="B10" s="159"/>
      <c r="C10" s="60">
        <v>1</v>
      </c>
      <c r="D10" s="159">
        <v>2</v>
      </c>
      <c r="E10" s="256">
        <v>1</v>
      </c>
      <c r="F10" s="199">
        <v>2</v>
      </c>
      <c r="G10" s="199">
        <v>3</v>
      </c>
      <c r="H10" s="199">
        <v>4</v>
      </c>
      <c r="I10" s="199">
        <v>5</v>
      </c>
      <c r="J10" s="255">
        <v>6</v>
      </c>
      <c r="K10" s="256">
        <v>1</v>
      </c>
      <c r="L10" s="255">
        <v>2</v>
      </c>
      <c r="M10" s="256">
        <v>1</v>
      </c>
      <c r="N10" s="199">
        <v>2</v>
      </c>
      <c r="O10" s="199">
        <v>3</v>
      </c>
      <c r="P10" s="199">
        <v>4</v>
      </c>
      <c r="Q10" s="255"/>
      <c r="R10" s="262"/>
      <c r="S10" s="263"/>
      <c r="T10" s="264"/>
      <c r="V10" s="143"/>
      <c r="W10" s="143"/>
      <c r="X10" s="142"/>
      <c r="Y10" s="138"/>
      <c r="Z10" s="138"/>
      <c r="AA10" s="143"/>
    </row>
    <row r="11" spans="1:28">
      <c r="A11" s="66"/>
      <c r="B11" s="159"/>
      <c r="C11" s="60"/>
      <c r="D11" s="159"/>
      <c r="E11" s="60"/>
      <c r="F11" s="61"/>
      <c r="G11" s="61"/>
      <c r="H11" s="61"/>
      <c r="I11" s="61"/>
      <c r="J11" s="159"/>
      <c r="K11" s="60"/>
      <c r="L11" s="159"/>
      <c r="M11" s="60"/>
      <c r="N11" s="61"/>
      <c r="O11" s="61"/>
      <c r="P11" s="61"/>
      <c r="Q11" s="159"/>
      <c r="R11" s="145"/>
      <c r="S11" s="141"/>
      <c r="T11" s="143"/>
      <c r="V11" s="143"/>
      <c r="W11" s="143"/>
      <c r="X11" s="142"/>
      <c r="Y11" s="143"/>
      <c r="Z11" s="143"/>
      <c r="AA11" s="143"/>
    </row>
    <row r="12" spans="1:28">
      <c r="A12" s="66">
        <v>25</v>
      </c>
      <c r="B12" s="140"/>
      <c r="C12" s="257">
        <v>103</v>
      </c>
      <c r="D12" s="54">
        <v>103</v>
      </c>
      <c r="E12" s="72">
        <v>1.02</v>
      </c>
      <c r="F12" s="102">
        <v>1.02</v>
      </c>
      <c r="G12" s="101">
        <v>1.01</v>
      </c>
      <c r="H12" s="101">
        <v>1.02</v>
      </c>
      <c r="I12" s="101"/>
      <c r="J12" s="73"/>
      <c r="K12" s="72">
        <v>26.04</v>
      </c>
      <c r="L12" s="73">
        <v>25.94</v>
      </c>
      <c r="M12" s="277" t="s">
        <v>89</v>
      </c>
      <c r="N12" s="180"/>
      <c r="O12" s="180"/>
      <c r="P12" s="178"/>
      <c r="Q12" s="276"/>
      <c r="R12" s="145">
        <v>36.700000000000003</v>
      </c>
      <c r="S12" s="64">
        <v>13.473739365325747</v>
      </c>
      <c r="T12" s="143">
        <v>3</v>
      </c>
      <c r="V12" s="143">
        <v>25</v>
      </c>
      <c r="W12" s="805">
        <f>MAX(E12:H12)-MIN(E12:H12)</f>
        <v>1.0000000000000009E-2</v>
      </c>
      <c r="X12" s="143">
        <v>0</v>
      </c>
      <c r="Y12" s="143">
        <f>IF(OR(K12&gt;Cuts!$B$16, L12&gt;Cuts!B$16), 1,0)</f>
        <v>0</v>
      </c>
      <c r="Z12" s="246">
        <f>IF(OR(C12&gt;Cuts!$D$16, D12&gt;Cuts!$D$16),1,0)</f>
        <v>0</v>
      </c>
      <c r="AA12" s="143">
        <f>IF(OR(M12="Y",N12="Y",O12="Y",P12="Y"),1,0)</f>
        <v>0</v>
      </c>
    </row>
    <row r="13" spans="1:28">
      <c r="A13" s="66">
        <v>26</v>
      </c>
      <c r="B13" s="140"/>
      <c r="C13" s="257">
        <v>103</v>
      </c>
      <c r="D13" s="54">
        <v>103</v>
      </c>
      <c r="E13" s="72">
        <v>1</v>
      </c>
      <c r="F13" s="102">
        <v>1.02</v>
      </c>
      <c r="G13" s="102">
        <v>1.02</v>
      </c>
      <c r="H13" s="102">
        <v>1.02</v>
      </c>
      <c r="I13" s="101"/>
      <c r="J13" s="73"/>
      <c r="K13" s="72">
        <v>26.06</v>
      </c>
      <c r="L13" s="73">
        <v>26.06</v>
      </c>
      <c r="M13" s="277"/>
      <c r="N13" s="180" t="s">
        <v>89</v>
      </c>
      <c r="O13" s="180"/>
      <c r="P13" s="178"/>
      <c r="Q13" s="276"/>
      <c r="R13" s="145">
        <v>36.5</v>
      </c>
      <c r="S13" s="64">
        <v>13.39723533183502</v>
      </c>
      <c r="T13" s="143">
        <v>3</v>
      </c>
      <c r="V13" s="143">
        <v>26</v>
      </c>
      <c r="W13" s="805">
        <f t="shared" ref="W13:W30" si="0">MAX(E13:H13)-MIN(E13:H13)</f>
        <v>2.0000000000000018E-2</v>
      </c>
      <c r="X13" s="143">
        <v>0</v>
      </c>
      <c r="Y13" s="143">
        <f>IF(OR(K13&gt;Cuts!$B$16, L13&gt;Cuts!B$16), 1,0)</f>
        <v>0</v>
      </c>
      <c r="Z13" s="246">
        <f>IF(OR(C13&gt;Cuts!$D$16, D13&gt;Cuts!$D$16),1,0)</f>
        <v>0</v>
      </c>
      <c r="AA13" s="143">
        <f t="shared" ref="AA13:AA30" si="1">IF(OR(M13="Y",N13="Y",O13="Y",P13="Y"),1,0)</f>
        <v>0</v>
      </c>
    </row>
    <row r="14" spans="1:28">
      <c r="A14" s="66">
        <v>27</v>
      </c>
      <c r="B14" s="140"/>
      <c r="C14" s="257">
        <v>103</v>
      </c>
      <c r="D14" s="54">
        <v>103</v>
      </c>
      <c r="E14" s="72">
        <v>1.03</v>
      </c>
      <c r="F14" s="102">
        <v>1.02</v>
      </c>
      <c r="G14" s="102">
        <v>1.02</v>
      </c>
      <c r="H14" s="102">
        <v>1.01</v>
      </c>
      <c r="I14" s="101"/>
      <c r="J14" s="73"/>
      <c r="K14" s="72">
        <v>26.05</v>
      </c>
      <c r="L14" s="73">
        <v>26.07</v>
      </c>
      <c r="M14" s="277"/>
      <c r="N14" s="180"/>
      <c r="O14" s="180"/>
      <c r="P14" s="178"/>
      <c r="Q14" s="276"/>
      <c r="R14" s="145">
        <v>36.6</v>
      </c>
      <c r="S14" s="64">
        <v>13.368087438687596</v>
      </c>
      <c r="T14" s="143">
        <v>3</v>
      </c>
      <c r="V14" s="143">
        <v>27</v>
      </c>
      <c r="W14" s="805">
        <f t="shared" si="0"/>
        <v>2.0000000000000018E-2</v>
      </c>
      <c r="X14" s="143">
        <v>0</v>
      </c>
      <c r="Y14" s="143">
        <f>IF(OR(K14&gt;Cuts!$B$16, L14&gt;Cuts!B$16), 1,0)</f>
        <v>0</v>
      </c>
      <c r="Z14" s="246">
        <f>IF(OR(C14&gt;Cuts!$D$16, D14&gt;Cuts!$D$16),1,0)</f>
        <v>0</v>
      </c>
      <c r="AA14" s="143">
        <f t="shared" si="1"/>
        <v>0</v>
      </c>
    </row>
    <row r="15" spans="1:28">
      <c r="A15" s="66">
        <v>28</v>
      </c>
      <c r="B15" s="140"/>
      <c r="C15" s="257">
        <v>102</v>
      </c>
      <c r="D15" s="54">
        <v>102</v>
      </c>
      <c r="E15" s="72">
        <v>1.04</v>
      </c>
      <c r="F15" s="102">
        <v>1.04</v>
      </c>
      <c r="G15" s="102">
        <v>1.05</v>
      </c>
      <c r="H15" s="102">
        <v>1.04</v>
      </c>
      <c r="I15" s="101"/>
      <c r="J15" s="73"/>
      <c r="K15" s="72">
        <v>26.01</v>
      </c>
      <c r="L15" s="73">
        <v>26.1</v>
      </c>
      <c r="M15" s="277"/>
      <c r="N15" s="180" t="s">
        <v>89</v>
      </c>
      <c r="O15" s="180"/>
      <c r="P15" s="178"/>
      <c r="Q15" s="274" t="s">
        <v>94</v>
      </c>
      <c r="R15" s="145">
        <v>37.4</v>
      </c>
      <c r="S15" s="64">
        <v>13.499083672996356</v>
      </c>
      <c r="T15" s="143">
        <v>3</v>
      </c>
      <c r="V15" s="143">
        <v>28</v>
      </c>
      <c r="W15" s="805">
        <f t="shared" si="0"/>
        <v>1.0000000000000009E-2</v>
      </c>
      <c r="X15" s="143">
        <v>0</v>
      </c>
      <c r="Y15" s="143">
        <f>IF(OR(K15&gt;Cuts!$B$16, L15&gt;Cuts!B$16), 1,0)</f>
        <v>0</v>
      </c>
      <c r="Z15" s="246">
        <f>IF(OR(C15&gt;Cuts!$D$16, D15&gt;Cuts!$D$16),1,0)</f>
        <v>0</v>
      </c>
      <c r="AA15" s="143">
        <f t="shared" si="1"/>
        <v>0</v>
      </c>
    </row>
    <row r="16" spans="1:28">
      <c r="A16" s="66">
        <v>29</v>
      </c>
      <c r="B16" s="140"/>
      <c r="C16" s="257">
        <v>102</v>
      </c>
      <c r="D16" s="54">
        <v>102</v>
      </c>
      <c r="E16" s="72">
        <v>1.05</v>
      </c>
      <c r="F16" s="102">
        <v>1.05</v>
      </c>
      <c r="G16" s="102">
        <v>1.03</v>
      </c>
      <c r="H16" s="102">
        <v>1.04</v>
      </c>
      <c r="I16" s="101"/>
      <c r="J16" s="73"/>
      <c r="K16" s="72">
        <v>26.03</v>
      </c>
      <c r="L16" s="73">
        <v>26.07</v>
      </c>
      <c r="M16" s="277" t="s">
        <v>89</v>
      </c>
      <c r="N16" s="180"/>
      <c r="O16" s="180"/>
      <c r="P16" s="178"/>
      <c r="Q16" s="274" t="s">
        <v>93</v>
      </c>
      <c r="R16" s="145">
        <v>37.4</v>
      </c>
      <c r="S16" s="64">
        <v>13.501674667943188</v>
      </c>
      <c r="T16" s="143">
        <v>3</v>
      </c>
      <c r="V16" s="143">
        <v>29</v>
      </c>
      <c r="W16" s="805">
        <f t="shared" si="0"/>
        <v>2.0000000000000018E-2</v>
      </c>
      <c r="X16" s="143">
        <v>0</v>
      </c>
      <c r="Y16" s="143">
        <f>IF(OR(K16&gt;Cuts!$B$16, L16&gt;Cuts!B$16), 1,0)</f>
        <v>0</v>
      </c>
      <c r="Z16" s="246">
        <f>IF(OR(C16&gt;Cuts!$D$16, D16&gt;Cuts!$D$16),1,0)</f>
        <v>0</v>
      </c>
      <c r="AA16" s="143">
        <f t="shared" si="1"/>
        <v>0</v>
      </c>
    </row>
    <row r="17" spans="1:28">
      <c r="A17" s="66">
        <v>30</v>
      </c>
      <c r="B17" s="140"/>
      <c r="C17" s="257">
        <v>102</v>
      </c>
      <c r="D17" s="54">
        <v>102</v>
      </c>
      <c r="E17" s="72">
        <v>1.01</v>
      </c>
      <c r="F17" s="102">
        <v>1.03</v>
      </c>
      <c r="G17" s="102">
        <v>1.01</v>
      </c>
      <c r="H17" s="102">
        <v>1.03</v>
      </c>
      <c r="I17" s="101"/>
      <c r="J17" s="73"/>
      <c r="K17" s="72">
        <v>26.05</v>
      </c>
      <c r="L17" s="73">
        <v>25.95</v>
      </c>
      <c r="M17" s="277"/>
      <c r="N17" s="180"/>
      <c r="O17" s="180"/>
      <c r="P17" s="178"/>
      <c r="Q17" s="274" t="s">
        <v>93</v>
      </c>
      <c r="R17" s="145">
        <v>36.5</v>
      </c>
      <c r="S17" s="64">
        <v>13.493330967379411</v>
      </c>
      <c r="T17" s="143">
        <v>3</v>
      </c>
      <c r="V17" s="143">
        <v>30</v>
      </c>
      <c r="W17" s="805">
        <f t="shared" si="0"/>
        <v>2.0000000000000018E-2</v>
      </c>
      <c r="X17" s="143">
        <v>0</v>
      </c>
      <c r="Y17" s="143">
        <f>IF(OR(K17&gt;Cuts!$B$16, L17&gt;Cuts!B$16), 1,0)</f>
        <v>0</v>
      </c>
      <c r="Z17" s="246">
        <f>IF(OR(C17&gt;Cuts!$D$16, D17&gt;Cuts!$D$16),1,0)</f>
        <v>0</v>
      </c>
      <c r="AA17" s="143">
        <f t="shared" si="1"/>
        <v>0</v>
      </c>
    </row>
    <row r="18" spans="1:28">
      <c r="A18" s="66">
        <v>31</v>
      </c>
      <c r="B18" s="140"/>
      <c r="C18" s="257">
        <v>103</v>
      </c>
      <c r="D18" s="54">
        <v>103</v>
      </c>
      <c r="E18" s="72">
        <v>1.01</v>
      </c>
      <c r="F18" s="102">
        <v>1.02</v>
      </c>
      <c r="G18" s="102">
        <v>1.01</v>
      </c>
      <c r="H18" s="102">
        <v>1.02</v>
      </c>
      <c r="I18" s="101"/>
      <c r="J18" s="73"/>
      <c r="K18" s="72">
        <v>26.04</v>
      </c>
      <c r="L18" s="73">
        <v>25.92</v>
      </c>
      <c r="M18" s="277"/>
      <c r="N18" s="180"/>
      <c r="O18" s="180"/>
      <c r="P18" s="178"/>
      <c r="Q18" s="276"/>
      <c r="R18" s="145">
        <v>36.200000000000003</v>
      </c>
      <c r="S18" s="64">
        <v>13.328035991293477</v>
      </c>
      <c r="T18" s="143">
        <v>3</v>
      </c>
      <c r="V18" s="143">
        <v>31</v>
      </c>
      <c r="W18" s="805">
        <f t="shared" si="0"/>
        <v>1.0000000000000009E-2</v>
      </c>
      <c r="X18" s="143">
        <v>0</v>
      </c>
      <c r="Y18" s="143">
        <f>IF(OR(K18&gt;Cuts!$B$16, L18&gt;Cuts!B$16), 1,0)</f>
        <v>0</v>
      </c>
      <c r="Z18" s="246">
        <f>IF(OR(C18&gt;Cuts!$D$16, D18&gt;Cuts!$D$16),1,0)</f>
        <v>0</v>
      </c>
      <c r="AA18" s="143">
        <f t="shared" si="1"/>
        <v>0</v>
      </c>
    </row>
    <row r="19" spans="1:28">
      <c r="A19" s="66">
        <v>32</v>
      </c>
      <c r="B19" s="140"/>
      <c r="C19" s="257">
        <v>103</v>
      </c>
      <c r="D19" s="54">
        <v>103</v>
      </c>
      <c r="E19" s="72">
        <v>1.02</v>
      </c>
      <c r="F19" s="102">
        <v>1.01</v>
      </c>
      <c r="G19" s="102">
        <v>1.02</v>
      </c>
      <c r="H19" s="102">
        <v>1</v>
      </c>
      <c r="I19" s="101"/>
      <c r="J19" s="73"/>
      <c r="K19" s="72">
        <v>26.07</v>
      </c>
      <c r="L19" s="73">
        <v>26.03</v>
      </c>
      <c r="M19" s="277"/>
      <c r="N19" s="180"/>
      <c r="O19" s="180"/>
      <c r="P19" s="178"/>
      <c r="Q19" s="276"/>
      <c r="R19" s="145">
        <v>36.6</v>
      </c>
      <c r="S19" s="64">
        <v>13.472280024653164</v>
      </c>
      <c r="T19" s="143">
        <v>3</v>
      </c>
      <c r="V19" s="143">
        <v>32</v>
      </c>
      <c r="W19" s="805">
        <f t="shared" si="0"/>
        <v>2.0000000000000018E-2</v>
      </c>
      <c r="X19" s="143">
        <v>0</v>
      </c>
      <c r="Y19" s="143">
        <f>IF(OR(K19&gt;Cuts!$B$16, L19&gt;Cuts!B$16), 1,0)</f>
        <v>0</v>
      </c>
      <c r="Z19" s="246">
        <f>IF(OR(C19&gt;Cuts!$D$16, D19&gt;Cuts!$D$16),1,0)</f>
        <v>0</v>
      </c>
      <c r="AA19" s="143">
        <f t="shared" si="1"/>
        <v>0</v>
      </c>
    </row>
    <row r="20" spans="1:28">
      <c r="A20" s="66">
        <v>33</v>
      </c>
      <c r="B20" s="140"/>
      <c r="C20" s="257">
        <v>103</v>
      </c>
      <c r="D20" s="54">
        <v>103</v>
      </c>
      <c r="E20" s="72">
        <v>1.02</v>
      </c>
      <c r="F20" s="102">
        <v>1.01</v>
      </c>
      <c r="G20" s="102">
        <v>1.01</v>
      </c>
      <c r="H20" s="102">
        <v>1.02</v>
      </c>
      <c r="I20" s="101"/>
      <c r="J20" s="73"/>
      <c r="K20" s="72">
        <v>26.07</v>
      </c>
      <c r="L20" s="73">
        <v>26.05</v>
      </c>
      <c r="M20" s="277" t="s">
        <v>89</v>
      </c>
      <c r="N20" s="180"/>
      <c r="O20" s="180"/>
      <c r="P20" s="178"/>
      <c r="Q20" s="274" t="s">
        <v>93</v>
      </c>
      <c r="R20" s="145">
        <v>36.4</v>
      </c>
      <c r="S20" s="64">
        <v>13.360530577501224</v>
      </c>
      <c r="T20" s="143">
        <v>3</v>
      </c>
      <c r="V20" s="143">
        <v>33</v>
      </c>
      <c r="W20" s="805">
        <f t="shared" si="0"/>
        <v>1.0000000000000009E-2</v>
      </c>
      <c r="X20" s="143">
        <v>0</v>
      </c>
      <c r="Y20" s="143">
        <f>IF(OR(K20&gt;Cuts!$B$16, L20&gt;Cuts!B$16), 1,0)</f>
        <v>0</v>
      </c>
      <c r="Z20" s="246">
        <f>IF(OR(C20&gt;Cuts!$D$16, D20&gt;Cuts!$D$16),1,0)</f>
        <v>0</v>
      </c>
      <c r="AA20" s="143">
        <f t="shared" si="1"/>
        <v>0</v>
      </c>
    </row>
    <row r="21" spans="1:28">
      <c r="A21" s="66">
        <v>34</v>
      </c>
      <c r="B21" s="140"/>
      <c r="C21" s="257">
        <v>103</v>
      </c>
      <c r="D21" s="54">
        <v>103</v>
      </c>
      <c r="E21" s="72">
        <v>1.01</v>
      </c>
      <c r="F21" s="102">
        <v>1.02</v>
      </c>
      <c r="G21" s="102">
        <v>1.02</v>
      </c>
      <c r="H21" s="102">
        <v>1.02</v>
      </c>
      <c r="I21" s="101"/>
      <c r="J21" s="73"/>
      <c r="K21" s="72">
        <v>25.94</v>
      </c>
      <c r="L21" s="73">
        <v>26.06</v>
      </c>
      <c r="M21" s="277" t="s">
        <v>89</v>
      </c>
      <c r="N21" s="180"/>
      <c r="O21" s="180"/>
      <c r="P21" s="178"/>
      <c r="Q21" s="274" t="s">
        <v>93</v>
      </c>
      <c r="R21" s="145">
        <v>36.299999999999997</v>
      </c>
      <c r="S21" s="64">
        <v>13.321760894576427</v>
      </c>
      <c r="T21" s="143">
        <v>3</v>
      </c>
      <c r="V21" s="143">
        <v>34</v>
      </c>
      <c r="W21" s="805">
        <f t="shared" si="0"/>
        <v>1.0000000000000009E-2</v>
      </c>
      <c r="X21" s="143">
        <v>0</v>
      </c>
      <c r="Y21" s="143">
        <f>IF(OR(K21&gt;Cuts!$B$16, L21&gt;Cuts!B$16), 1,0)</f>
        <v>0</v>
      </c>
      <c r="Z21" s="246">
        <f>IF(OR(C21&gt;Cuts!$D$16, D21&gt;Cuts!$D$16),1,0)</f>
        <v>0</v>
      </c>
      <c r="AA21" s="143">
        <f t="shared" si="1"/>
        <v>0</v>
      </c>
    </row>
    <row r="22" spans="1:28">
      <c r="A22" s="66">
        <v>35</v>
      </c>
      <c r="B22" s="140"/>
      <c r="C22" s="257">
        <v>103</v>
      </c>
      <c r="D22" s="54">
        <v>103</v>
      </c>
      <c r="E22" s="72">
        <v>1.03</v>
      </c>
      <c r="F22" s="102">
        <v>1.03</v>
      </c>
      <c r="G22" s="102">
        <v>1.02</v>
      </c>
      <c r="H22" s="102">
        <v>1.02</v>
      </c>
      <c r="I22" s="101"/>
      <c r="J22" s="73"/>
      <c r="K22" s="72">
        <v>25.94</v>
      </c>
      <c r="L22" s="73">
        <v>26.05</v>
      </c>
      <c r="M22" s="277"/>
      <c r="N22" s="180"/>
      <c r="O22" s="180"/>
      <c r="P22" s="178"/>
      <c r="Q22" s="276"/>
      <c r="R22" s="145">
        <v>36.700000000000003</v>
      </c>
      <c r="S22" s="64">
        <v>13.372578389339433</v>
      </c>
      <c r="T22" s="143">
        <v>3</v>
      </c>
      <c r="V22" s="143">
        <v>35</v>
      </c>
      <c r="W22" s="805">
        <f t="shared" si="0"/>
        <v>1.0000000000000009E-2</v>
      </c>
      <c r="X22" s="143">
        <v>0</v>
      </c>
      <c r="Y22" s="143">
        <f>IF(OR(K22&gt;Cuts!$B$16, L22&gt;Cuts!B$16), 1,0)</f>
        <v>0</v>
      </c>
      <c r="Z22" s="246">
        <f>IF(OR(C22&gt;Cuts!$D$16, D22&gt;Cuts!$D$16),1,0)</f>
        <v>0</v>
      </c>
      <c r="AA22" s="143">
        <f t="shared" si="1"/>
        <v>0</v>
      </c>
    </row>
    <row r="23" spans="1:28">
      <c r="A23" s="66">
        <v>36</v>
      </c>
      <c r="B23" s="140"/>
      <c r="C23" s="257">
        <v>102</v>
      </c>
      <c r="D23" s="54">
        <v>102</v>
      </c>
      <c r="E23" s="72">
        <v>1.03</v>
      </c>
      <c r="F23" s="102">
        <v>1.02</v>
      </c>
      <c r="G23" s="102">
        <v>1.04</v>
      </c>
      <c r="H23" s="102">
        <v>1.02</v>
      </c>
      <c r="I23" s="101"/>
      <c r="J23" s="73"/>
      <c r="K23" s="72">
        <v>26.09</v>
      </c>
      <c r="L23" s="73">
        <v>26.1</v>
      </c>
      <c r="M23" s="277"/>
      <c r="N23" s="180" t="s">
        <v>89</v>
      </c>
      <c r="O23" s="180"/>
      <c r="P23" s="178"/>
      <c r="Q23" s="276"/>
      <c r="R23" s="145">
        <v>36.9</v>
      </c>
      <c r="S23" s="64">
        <v>13.492333351789313</v>
      </c>
      <c r="T23" s="143">
        <v>3</v>
      </c>
      <c r="V23" s="143">
        <v>36</v>
      </c>
      <c r="W23" s="805">
        <f t="shared" si="0"/>
        <v>2.0000000000000018E-2</v>
      </c>
      <c r="X23" s="143">
        <v>0</v>
      </c>
      <c r="Y23" s="143">
        <f>IF(OR(K23&gt;Cuts!$B$16, L23&gt;Cuts!B$16), 1,0)</f>
        <v>0</v>
      </c>
      <c r="Z23" s="246">
        <f>IF(OR(C23&gt;Cuts!$D$16, D23&gt;Cuts!$D$16),1,0)</f>
        <v>0</v>
      </c>
      <c r="AA23" s="143">
        <f t="shared" si="1"/>
        <v>0</v>
      </c>
    </row>
    <row r="24" spans="1:28">
      <c r="A24" s="66">
        <v>37</v>
      </c>
      <c r="B24" s="140"/>
      <c r="C24" s="257">
        <v>103</v>
      </c>
      <c r="D24" s="54">
        <v>103</v>
      </c>
      <c r="E24" s="72">
        <v>1.05</v>
      </c>
      <c r="F24" s="102">
        <v>1.06</v>
      </c>
      <c r="G24" s="102">
        <v>1.05</v>
      </c>
      <c r="H24" s="102">
        <v>1.05</v>
      </c>
      <c r="I24" s="101"/>
      <c r="J24" s="73"/>
      <c r="K24" s="72">
        <v>26.09</v>
      </c>
      <c r="L24" s="73">
        <v>26.08</v>
      </c>
      <c r="M24" s="277"/>
      <c r="N24" s="180"/>
      <c r="O24" s="180"/>
      <c r="P24" s="178"/>
      <c r="Q24" s="274" t="s">
        <v>93</v>
      </c>
      <c r="R24" s="145">
        <v>37.5</v>
      </c>
      <c r="S24" s="64">
        <v>13.261147250757963</v>
      </c>
      <c r="T24" s="143">
        <v>3</v>
      </c>
      <c r="V24" s="143">
        <v>37</v>
      </c>
      <c r="W24" s="805">
        <f t="shared" si="0"/>
        <v>1.0000000000000009E-2</v>
      </c>
      <c r="X24" s="143">
        <v>0</v>
      </c>
      <c r="Y24" s="143">
        <f>IF(OR(K24&gt;Cuts!$B$16, L24&gt;Cuts!B$16), 1,0)</f>
        <v>0</v>
      </c>
      <c r="Z24" s="246">
        <f>IF(OR(C24&gt;Cuts!$D$16, D24&gt;Cuts!$D$16),1,0)</f>
        <v>0</v>
      </c>
      <c r="AA24" s="143">
        <f t="shared" si="1"/>
        <v>0</v>
      </c>
    </row>
    <row r="25" spans="1:28">
      <c r="A25" s="66">
        <v>38</v>
      </c>
      <c r="B25" s="140"/>
      <c r="C25" s="257">
        <v>103</v>
      </c>
      <c r="D25" s="54">
        <v>103</v>
      </c>
      <c r="E25" s="72">
        <v>1.03</v>
      </c>
      <c r="F25" s="102">
        <v>1.03</v>
      </c>
      <c r="G25" s="102">
        <v>1.02</v>
      </c>
      <c r="H25" s="102">
        <v>1.03</v>
      </c>
      <c r="I25" s="101"/>
      <c r="J25" s="73"/>
      <c r="K25" s="72">
        <v>26.09</v>
      </c>
      <c r="L25" s="73">
        <v>25.94</v>
      </c>
      <c r="M25" s="277"/>
      <c r="N25" s="180"/>
      <c r="O25" s="180"/>
      <c r="P25" s="178"/>
      <c r="Q25" s="274" t="s">
        <v>93</v>
      </c>
      <c r="R25" s="145">
        <v>36.6</v>
      </c>
      <c r="S25" s="64">
        <v>13.29346510553261</v>
      </c>
      <c r="T25" s="143">
        <v>3</v>
      </c>
      <c r="V25" s="143">
        <v>38</v>
      </c>
      <c r="W25" s="805">
        <f t="shared" si="0"/>
        <v>1.0000000000000009E-2</v>
      </c>
      <c r="X25" s="143">
        <v>0</v>
      </c>
      <c r="Y25" s="143">
        <f>IF(OR(K25&gt;Cuts!$B$16, L25&gt;Cuts!B$16), 1,0)</f>
        <v>0</v>
      </c>
      <c r="Z25" s="246">
        <f>IF(OR(C25&gt;Cuts!$D$16, D25&gt;Cuts!$D$16),1,0)</f>
        <v>0</v>
      </c>
      <c r="AA25" s="143">
        <f t="shared" si="1"/>
        <v>0</v>
      </c>
    </row>
    <row r="26" spans="1:28">
      <c r="A26" s="66">
        <v>39</v>
      </c>
      <c r="B26" s="140"/>
      <c r="C26" s="257">
        <v>102</v>
      </c>
      <c r="D26" s="54">
        <v>102</v>
      </c>
      <c r="E26" s="72">
        <v>1.05</v>
      </c>
      <c r="F26" s="102">
        <v>1.04</v>
      </c>
      <c r="G26" s="102">
        <v>1.05</v>
      </c>
      <c r="H26" s="102">
        <v>1.04</v>
      </c>
      <c r="I26" s="101"/>
      <c r="J26" s="73"/>
      <c r="K26" s="72">
        <v>26.08</v>
      </c>
      <c r="L26" s="73">
        <v>25.94</v>
      </c>
      <c r="M26" s="277"/>
      <c r="N26" s="180"/>
      <c r="O26" s="180"/>
      <c r="P26" s="178"/>
      <c r="Q26" s="274" t="s">
        <v>94</v>
      </c>
      <c r="R26" s="145">
        <v>36.9</v>
      </c>
      <c r="S26" s="64">
        <v>13.309739385563999</v>
      </c>
      <c r="T26" s="143">
        <v>3</v>
      </c>
      <c r="V26" s="143">
        <v>39</v>
      </c>
      <c r="W26" s="805">
        <f t="shared" si="0"/>
        <v>1.0000000000000009E-2</v>
      </c>
      <c r="X26" s="143">
        <v>0</v>
      </c>
      <c r="Y26" s="143">
        <f>IF(OR(K26&gt;Cuts!$B$16, L26&gt;Cuts!B$16), 1,0)</f>
        <v>0</v>
      </c>
      <c r="Z26" s="246">
        <f>IF(OR(C26&gt;Cuts!$D$16, D26&gt;Cuts!$D$16),1,0)</f>
        <v>0</v>
      </c>
      <c r="AA26" s="143">
        <f t="shared" si="1"/>
        <v>0</v>
      </c>
    </row>
    <row r="27" spans="1:28">
      <c r="A27" s="66">
        <v>40</v>
      </c>
      <c r="B27" s="140"/>
      <c r="C27" s="257">
        <v>103</v>
      </c>
      <c r="D27" s="54">
        <v>103</v>
      </c>
      <c r="E27" s="72">
        <v>1.02</v>
      </c>
      <c r="F27" s="102">
        <v>1.01</v>
      </c>
      <c r="G27" s="102">
        <v>1.02</v>
      </c>
      <c r="H27" s="102">
        <v>1.01</v>
      </c>
      <c r="I27" s="101"/>
      <c r="J27" s="73"/>
      <c r="K27" s="72">
        <v>26.09</v>
      </c>
      <c r="L27" s="73">
        <v>26.03</v>
      </c>
      <c r="M27" s="277"/>
      <c r="N27" s="180"/>
      <c r="O27" s="180"/>
      <c r="P27" s="178"/>
      <c r="Q27" s="276"/>
      <c r="R27" s="145">
        <v>36.4</v>
      </c>
      <c r="S27" s="64">
        <v>13.360530577501224</v>
      </c>
      <c r="T27" s="143">
        <v>3</v>
      </c>
      <c r="V27" s="143">
        <v>40</v>
      </c>
      <c r="W27" s="805">
        <f t="shared" si="0"/>
        <v>1.0000000000000009E-2</v>
      </c>
      <c r="X27" s="143">
        <v>0</v>
      </c>
      <c r="Y27" s="143">
        <f>IF(OR(K27&gt;Cuts!$B$16, L27&gt;Cuts!B$16), 1,0)</f>
        <v>0</v>
      </c>
      <c r="Z27" s="246">
        <f>IF(OR(C27&gt;Cuts!$D$16, D27&gt;Cuts!$D$16),1,0)</f>
        <v>0</v>
      </c>
      <c r="AA27" s="143">
        <f t="shared" si="1"/>
        <v>0</v>
      </c>
    </row>
    <row r="28" spans="1:28">
      <c r="A28" s="66">
        <v>41</v>
      </c>
      <c r="B28" s="140"/>
      <c r="C28" s="257">
        <v>103</v>
      </c>
      <c r="D28" s="54">
        <v>103</v>
      </c>
      <c r="E28" s="72">
        <v>1.02</v>
      </c>
      <c r="F28" s="102">
        <v>1.01</v>
      </c>
      <c r="G28" s="102">
        <v>1.02</v>
      </c>
      <c r="H28" s="102">
        <v>1.01</v>
      </c>
      <c r="I28" s="101"/>
      <c r="J28" s="73"/>
      <c r="K28" s="72">
        <v>26.06</v>
      </c>
      <c r="L28" s="73">
        <v>26.08</v>
      </c>
      <c r="M28" s="277" t="s">
        <v>89</v>
      </c>
      <c r="N28" s="180"/>
      <c r="O28" s="180"/>
      <c r="P28" s="178"/>
      <c r="Q28" s="274" t="s">
        <v>93</v>
      </c>
      <c r="R28" s="145">
        <v>36.5</v>
      </c>
      <c r="S28" s="64">
        <v>13.392096384642139</v>
      </c>
      <c r="T28" s="143">
        <v>3</v>
      </c>
      <c r="V28" s="143">
        <v>41</v>
      </c>
      <c r="W28" s="805">
        <f t="shared" si="0"/>
        <v>1.0000000000000009E-2</v>
      </c>
      <c r="X28" s="143">
        <v>0</v>
      </c>
      <c r="Y28" s="143">
        <f>IF(OR(K28&gt;Cuts!$B$16, L28&gt;Cuts!B$16), 1,0)</f>
        <v>0</v>
      </c>
      <c r="Z28" s="246">
        <f>IF(OR(C28&gt;Cuts!$D$16, D28&gt;Cuts!$D$16),1,0)</f>
        <v>0</v>
      </c>
      <c r="AA28" s="143">
        <f t="shared" si="1"/>
        <v>0</v>
      </c>
    </row>
    <row r="29" spans="1:28">
      <c r="A29" s="171">
        <v>42</v>
      </c>
      <c r="B29" s="140"/>
      <c r="C29" s="257">
        <v>102</v>
      </c>
      <c r="D29" s="54">
        <v>103</v>
      </c>
      <c r="E29" s="72">
        <v>1.05</v>
      </c>
      <c r="F29" s="102">
        <v>1.05</v>
      </c>
      <c r="G29" s="102">
        <v>1.06</v>
      </c>
      <c r="H29" s="102">
        <v>1.08</v>
      </c>
      <c r="I29" s="101"/>
      <c r="J29" s="73"/>
      <c r="K29" s="72">
        <v>26.07</v>
      </c>
      <c r="L29" s="73">
        <v>26.04</v>
      </c>
      <c r="M29" s="277"/>
      <c r="N29" s="180" t="s">
        <v>89</v>
      </c>
      <c r="O29" s="180"/>
      <c r="P29" s="178"/>
      <c r="Q29" s="274" t="s">
        <v>94</v>
      </c>
      <c r="R29" s="145">
        <v>37.700000000000003</v>
      </c>
      <c r="S29" s="64">
        <v>13.317433659884225</v>
      </c>
      <c r="T29" s="143">
        <v>3</v>
      </c>
      <c r="V29" s="265">
        <v>42</v>
      </c>
      <c r="W29" s="805">
        <f t="shared" si="0"/>
        <v>3.0000000000000027E-2</v>
      </c>
      <c r="X29" s="143">
        <v>0</v>
      </c>
      <c r="Y29" s="143">
        <f>IF(OR(K29&gt;Cuts!$B$16, L29&gt;Cuts!B$16), 1,0)</f>
        <v>0</v>
      </c>
      <c r="Z29" s="246">
        <f>IF(OR(C29&gt;Cuts!$D$16, D29&gt;Cuts!$D$16),1,0)</f>
        <v>0</v>
      </c>
      <c r="AA29" s="143">
        <f t="shared" si="1"/>
        <v>0</v>
      </c>
      <c r="AB29" t="s">
        <v>631</v>
      </c>
    </row>
    <row r="30" spans="1:28" s="111" customFormat="1">
      <c r="A30" s="111">
        <v>43</v>
      </c>
      <c r="B30" s="130"/>
      <c r="C30" s="258">
        <v>102</v>
      </c>
      <c r="D30" s="259">
        <v>102</v>
      </c>
      <c r="E30" s="88">
        <v>1.02</v>
      </c>
      <c r="F30" s="115">
        <v>1.01</v>
      </c>
      <c r="G30" s="115">
        <v>1.02</v>
      </c>
      <c r="H30" s="115">
        <v>1.02</v>
      </c>
      <c r="I30" s="168"/>
      <c r="J30" s="89"/>
      <c r="K30" s="88">
        <v>26.01</v>
      </c>
      <c r="L30" s="89">
        <v>26.07</v>
      </c>
      <c r="M30" s="155"/>
      <c r="Q30" s="285" t="s">
        <v>94</v>
      </c>
      <c r="R30" s="151">
        <v>36.5</v>
      </c>
      <c r="S30" s="96">
        <v>13.505706105326599</v>
      </c>
      <c r="T30" s="152">
        <v>3</v>
      </c>
      <c r="V30" s="152">
        <v>43</v>
      </c>
      <c r="W30" s="806">
        <f t="shared" si="0"/>
        <v>1.0000000000000009E-2</v>
      </c>
      <c r="X30" s="152">
        <v>0</v>
      </c>
      <c r="Y30" s="152">
        <f>IF(OR(K30&gt;Cuts!$B$16, L30&gt;Cuts!B$16), 1,0)</f>
        <v>0</v>
      </c>
      <c r="Z30" s="248">
        <f>IF(OR(C30&gt;Cuts!$D$16, D30&gt;Cuts!$D$16),1,0)</f>
        <v>0</v>
      </c>
      <c r="AA30" s="152">
        <f t="shared" si="1"/>
        <v>0</v>
      </c>
    </row>
    <row r="31" spans="1:28">
      <c r="Y31" s="57">
        <f>SUM(Y12:Y30)</f>
        <v>0</v>
      </c>
      <c r="Z31" s="57">
        <f>SUM(Z12:Z30)</f>
        <v>0</v>
      </c>
      <c r="AA31" s="57">
        <f>SUM(AA12:AA30)</f>
        <v>0</v>
      </c>
    </row>
    <row r="33" spans="1:19">
      <c r="A33" s="66" t="s">
        <v>114</v>
      </c>
      <c r="C33" s="57" t="s">
        <v>132</v>
      </c>
      <c r="E33" s="57" t="s">
        <v>133</v>
      </c>
      <c r="K33" s="57" t="s">
        <v>130</v>
      </c>
      <c r="R33" s="57" t="s">
        <v>134</v>
      </c>
      <c r="S33" s="57" t="s">
        <v>135</v>
      </c>
    </row>
    <row r="35" spans="1:19">
      <c r="A35" s="57" t="s">
        <v>116</v>
      </c>
      <c r="C35" s="57">
        <f>4*25.4</f>
        <v>101.6</v>
      </c>
      <c r="E35" s="57">
        <f>C6</f>
        <v>1.016</v>
      </c>
      <c r="K35" s="102">
        <v>25.4</v>
      </c>
    </row>
    <row r="36" spans="1:19">
      <c r="A36" s="57" t="s">
        <v>111</v>
      </c>
      <c r="C36" s="57">
        <f>MODE(C12:D30)</f>
        <v>103</v>
      </c>
      <c r="E36" s="57">
        <f>MODE(E12:H30)</f>
        <v>1.02</v>
      </c>
      <c r="K36" s="57">
        <f>MODE(K12:L30)</f>
        <v>26.07</v>
      </c>
      <c r="R36" s="57">
        <f>MODE(R12:R30)</f>
        <v>36.5</v>
      </c>
      <c r="S36" s="57">
        <f>MODE(S12:S30)</f>
        <v>13.360530577501224</v>
      </c>
    </row>
    <row r="37" spans="1:19">
      <c r="A37" s="57" t="s">
        <v>110</v>
      </c>
      <c r="C37" s="121">
        <f>AVERAGE(C12:D30)</f>
        <v>102.65789473684211</v>
      </c>
      <c r="E37" s="65">
        <f>AVERAGE(E12:H30)</f>
        <v>1.0264473684210529</v>
      </c>
      <c r="K37" s="153">
        <f>AVERAGE(K12:L30)</f>
        <v>26.038421052631588</v>
      </c>
      <c r="R37" s="104">
        <f>AVERAGE(R12:R30)</f>
        <v>36.752631578947366</v>
      </c>
      <c r="S37" s="104">
        <f>AVERAGE(S12:S30)</f>
        <v>13.395831007501533</v>
      </c>
    </row>
    <row r="38" spans="1:19">
      <c r="A38" s="57" t="s">
        <v>117</v>
      </c>
      <c r="C38" s="57">
        <f>STDEV(C12:D30)</f>
        <v>0.48078290821950126</v>
      </c>
      <c r="D38" s="173"/>
      <c r="E38" s="57">
        <f>STDEV(E12:H30)</f>
        <v>1.5807504324922908E-2</v>
      </c>
      <c r="K38" s="57">
        <f>STDEV(K12:L30)</f>
        <v>5.2992927411294459E-2</v>
      </c>
      <c r="R38" s="57">
        <f>STDEV(R12:R30)</f>
        <v>0.43635920607404255</v>
      </c>
      <c r="S38" s="57">
        <f>STDEV(S12:S30)</f>
        <v>8.190344560764605E-2</v>
      </c>
    </row>
    <row r="39" spans="1:19">
      <c r="A39" s="154" t="s">
        <v>118</v>
      </c>
      <c r="D39" s="173"/>
      <c r="E39" s="65">
        <f>E37+E38</f>
        <v>1.0422548727459757</v>
      </c>
      <c r="K39" s="153">
        <f>K37+K38</f>
        <v>26.091413980042883</v>
      </c>
      <c r="R39" s="57">
        <f>R37+R38</f>
        <v>37.18899078502141</v>
      </c>
      <c r="S39" s="104">
        <f>S37+S38</f>
        <v>13.477734453109179</v>
      </c>
    </row>
    <row r="40" spans="1:19">
      <c r="A40" s="154" t="s">
        <v>119</v>
      </c>
      <c r="D40" s="173"/>
      <c r="E40" s="65">
        <f>E37-E38</f>
        <v>1.01063986409613</v>
      </c>
      <c r="K40" s="153">
        <f>K37-K38</f>
        <v>25.985428125220292</v>
      </c>
      <c r="R40" s="57">
        <f>R37-R38</f>
        <v>36.316272372873321</v>
      </c>
      <c r="S40" s="104">
        <f>S37-S38</f>
        <v>13.313927561893887</v>
      </c>
    </row>
    <row r="41" spans="1:19">
      <c r="A41" s="57" t="s">
        <v>124</v>
      </c>
      <c r="C41" s="153">
        <f>MAX(C12:D30)-C35</f>
        <v>1.4000000000000057</v>
      </c>
      <c r="E41" s="65">
        <f>MAX(E12:H30)-E35</f>
        <v>6.4000000000000057E-2</v>
      </c>
      <c r="K41" s="153">
        <f>MAX(K12:L30)-$K35</f>
        <v>0.70000000000000284</v>
      </c>
    </row>
    <row r="42" spans="1:19">
      <c r="A42" s="57" t="s">
        <v>125</v>
      </c>
      <c r="C42" s="153">
        <f>MIN(C12:D30)-C35</f>
        <v>0.40000000000000568</v>
      </c>
      <c r="E42" s="65">
        <f>MIN(E12:H30)-E35</f>
        <v>-1.6000000000000014E-2</v>
      </c>
      <c r="K42" s="153">
        <f>MIN(K12:L30)-K35</f>
        <v>0.52000000000000313</v>
      </c>
    </row>
    <row r="43" spans="1:19" ht="15.75" thickBot="1"/>
    <row r="44" spans="1:19">
      <c r="A44" s="57" t="s">
        <v>146</v>
      </c>
      <c r="C44" s="40" t="s">
        <v>147</v>
      </c>
      <c r="D44" s="40" t="s">
        <v>149</v>
      </c>
    </row>
    <row r="45" spans="1:19">
      <c r="A45" s="57">
        <v>0.94</v>
      </c>
      <c r="C45" s="123">
        <v>0.94</v>
      </c>
      <c r="D45" s="124">
        <v>0</v>
      </c>
    </row>
    <row r="46" spans="1:19">
      <c r="A46" s="57">
        <f>A45+0.01</f>
        <v>0.95</v>
      </c>
      <c r="C46" s="123">
        <v>0.95</v>
      </c>
      <c r="D46" s="124">
        <v>0</v>
      </c>
    </row>
    <row r="47" spans="1:19">
      <c r="A47" s="57">
        <f t="shared" ref="A47:A60" si="2">A46+0.01</f>
        <v>0.96</v>
      </c>
      <c r="C47" s="123">
        <v>0.96</v>
      </c>
      <c r="D47" s="124">
        <v>0</v>
      </c>
    </row>
    <row r="48" spans="1:19">
      <c r="A48" s="57">
        <f t="shared" si="2"/>
        <v>0.97</v>
      </c>
      <c r="C48" s="123">
        <v>0.97</v>
      </c>
      <c r="D48" s="124">
        <v>0</v>
      </c>
    </row>
    <row r="49" spans="1:4">
      <c r="A49" s="57">
        <f t="shared" si="2"/>
        <v>0.98</v>
      </c>
      <c r="C49" s="123">
        <v>0.98</v>
      </c>
      <c r="D49" s="124">
        <v>0</v>
      </c>
    </row>
    <row r="50" spans="1:4">
      <c r="A50" s="57">
        <f t="shared" si="2"/>
        <v>0.99</v>
      </c>
      <c r="C50" s="123">
        <v>0.99</v>
      </c>
      <c r="D50" s="124">
        <v>0</v>
      </c>
    </row>
    <row r="51" spans="1:4">
      <c r="A51" s="57">
        <f t="shared" si="2"/>
        <v>1</v>
      </c>
      <c r="C51" s="123">
        <v>1</v>
      </c>
      <c r="D51" s="124">
        <v>2</v>
      </c>
    </row>
    <row r="52" spans="1:4">
      <c r="A52" s="57">
        <f t="shared" si="2"/>
        <v>1.01</v>
      </c>
      <c r="C52" s="123">
        <v>1.01</v>
      </c>
      <c r="D52" s="124">
        <v>15</v>
      </c>
    </row>
    <row r="53" spans="1:4">
      <c r="A53" s="57">
        <f t="shared" si="2"/>
        <v>1.02</v>
      </c>
      <c r="C53" s="123">
        <v>1.02</v>
      </c>
      <c r="D53" s="124">
        <v>29</v>
      </c>
    </row>
    <row r="54" spans="1:4">
      <c r="A54" s="57">
        <f>A53+0.01</f>
        <v>1.03</v>
      </c>
      <c r="C54" s="123">
        <v>1.03</v>
      </c>
      <c r="D54" s="124">
        <v>10</v>
      </c>
    </row>
    <row r="55" spans="1:4">
      <c r="A55" s="57">
        <f t="shared" si="2"/>
        <v>1.04</v>
      </c>
      <c r="C55" s="123">
        <v>1.04</v>
      </c>
      <c r="D55" s="124">
        <v>7</v>
      </c>
    </row>
    <row r="56" spans="1:4">
      <c r="A56" s="57">
        <f t="shared" si="2"/>
        <v>1.05</v>
      </c>
      <c r="C56" s="123">
        <v>1.05</v>
      </c>
      <c r="D56" s="124">
        <v>10</v>
      </c>
    </row>
    <row r="57" spans="1:4">
      <c r="A57" s="57">
        <f t="shared" si="2"/>
        <v>1.06</v>
      </c>
      <c r="C57" s="123">
        <v>1.06</v>
      </c>
      <c r="D57" s="124">
        <v>2</v>
      </c>
    </row>
    <row r="58" spans="1:4">
      <c r="A58" s="57">
        <f t="shared" si="2"/>
        <v>1.07</v>
      </c>
      <c r="C58" s="123">
        <v>1.07</v>
      </c>
      <c r="D58" s="124">
        <v>0</v>
      </c>
    </row>
    <row r="59" spans="1:4">
      <c r="A59" s="57">
        <f t="shared" si="2"/>
        <v>1.08</v>
      </c>
      <c r="C59" s="123">
        <v>1.08</v>
      </c>
      <c r="D59" s="124">
        <v>1</v>
      </c>
    </row>
    <row r="60" spans="1:4">
      <c r="A60" s="57">
        <f t="shared" si="2"/>
        <v>1.0900000000000001</v>
      </c>
      <c r="C60" s="123">
        <v>1.0900000000000001</v>
      </c>
      <c r="D60" s="124">
        <v>0</v>
      </c>
    </row>
    <row r="61" spans="1:4" ht="15.75" thickBot="1">
      <c r="C61" s="125" t="s">
        <v>148</v>
      </c>
      <c r="D61" s="125">
        <v>0</v>
      </c>
    </row>
  </sheetData>
  <sortState ref="C45:C60">
    <sortCondition ref="C45"/>
  </sortState>
  <mergeCells count="4">
    <mergeCell ref="C9:D9"/>
    <mergeCell ref="E9:I9"/>
    <mergeCell ref="K9:L9"/>
    <mergeCell ref="M9:P9"/>
  </mergeCells>
  <pageMargins left="0.25" right="0.25" top="0.25" bottom="0.25" header="0.3" footer="0.3"/>
  <pageSetup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B79"/>
  <sheetViews>
    <sheetView topLeftCell="A7" zoomScale="70" zoomScaleNormal="70" workbookViewId="0">
      <selection activeCell="AB9" sqref="AB9"/>
    </sheetView>
  </sheetViews>
  <sheetFormatPr defaultRowHeight="15"/>
  <cols>
    <col min="1" max="1" width="6.28515625" style="57" customWidth="1"/>
    <col min="2" max="2" width="16.140625" style="57" customWidth="1"/>
    <col min="3" max="4" width="5.140625" style="57" customWidth="1"/>
    <col min="5" max="9" width="6.85546875" style="57" customWidth="1"/>
    <col min="10" max="10" width="6.85546875" style="57" bestFit="1" customWidth="1"/>
    <col min="11" max="12" width="6.85546875" style="57" customWidth="1"/>
    <col min="13" max="16" width="3.7109375" style="57" customWidth="1"/>
    <col min="17" max="17" width="6.5703125" style="57" customWidth="1"/>
    <col min="18" max="18" width="5.5703125" style="57" customWidth="1"/>
    <col min="19" max="19" width="5.140625" style="57" customWidth="1"/>
    <col min="20" max="20" width="9.85546875" style="57" customWidth="1"/>
    <col min="21" max="25" width="9.140625" style="57"/>
    <col min="26" max="26" width="9.5703125" style="57" bestFit="1" customWidth="1"/>
    <col min="27" max="16384" width="9.140625" style="57"/>
  </cols>
  <sheetData>
    <row r="1" spans="1:28">
      <c r="A1" s="57" t="s">
        <v>0</v>
      </c>
      <c r="B1" s="52"/>
    </row>
    <row r="2" spans="1:28">
      <c r="A2" s="57" t="s">
        <v>1</v>
      </c>
      <c r="B2" s="52"/>
    </row>
    <row r="3" spans="1:28">
      <c r="A3" s="57" t="s">
        <v>58</v>
      </c>
      <c r="B3" s="52"/>
    </row>
    <row r="4" spans="1:28">
      <c r="B4" s="52"/>
    </row>
    <row r="5" spans="1:28">
      <c r="B5" s="57" t="s">
        <v>112</v>
      </c>
      <c r="C5" s="57" t="s">
        <v>113</v>
      </c>
    </row>
    <row r="6" spans="1:28">
      <c r="A6" s="57" t="s">
        <v>19</v>
      </c>
      <c r="B6" s="52">
        <v>0.05</v>
      </c>
      <c r="C6" s="52">
        <f>B6*25.4</f>
        <v>1.27</v>
      </c>
      <c r="D6" s="52"/>
      <c r="E6" s="52"/>
      <c r="F6" s="52"/>
      <c r="G6" s="52"/>
      <c r="H6" s="52"/>
      <c r="I6" s="52"/>
      <c r="J6" s="52"/>
      <c r="K6" s="127"/>
      <c r="L6" s="70"/>
      <c r="M6" s="52"/>
      <c r="N6" s="52"/>
      <c r="O6" s="52"/>
      <c r="P6" s="52"/>
      <c r="Q6" s="52"/>
      <c r="R6" s="127"/>
      <c r="S6" s="127"/>
      <c r="T6" s="127"/>
    </row>
    <row r="7" spans="1:28">
      <c r="B7" s="52"/>
      <c r="C7" s="52"/>
      <c r="D7" s="52"/>
      <c r="E7" s="52"/>
      <c r="F7" s="52"/>
      <c r="G7" s="52"/>
      <c r="H7" s="52"/>
      <c r="I7" s="52"/>
      <c r="J7" s="52"/>
      <c r="K7" s="127"/>
      <c r="L7" s="70"/>
      <c r="M7" s="52"/>
      <c r="N7" s="52"/>
      <c r="O7" s="52"/>
      <c r="P7" s="52"/>
      <c r="Q7" s="52"/>
      <c r="R7" s="127"/>
      <c r="S7" s="127"/>
      <c r="T7" s="127"/>
    </row>
    <row r="8" spans="1:28">
      <c r="A8" s="3" t="s">
        <v>115</v>
      </c>
      <c r="B8" s="52"/>
      <c r="C8" s="52"/>
      <c r="D8" s="52"/>
      <c r="E8" s="52"/>
      <c r="F8" s="52"/>
      <c r="G8" s="52"/>
      <c r="H8" s="52"/>
      <c r="I8" s="52"/>
      <c r="J8" s="52"/>
      <c r="K8" s="70"/>
      <c r="L8" s="70"/>
      <c r="M8" s="52"/>
      <c r="N8" s="52"/>
      <c r="O8" s="52"/>
      <c r="P8" s="52"/>
      <c r="Q8" s="52"/>
      <c r="R8" s="127"/>
      <c r="S8" s="127"/>
      <c r="T8" s="127"/>
      <c r="V8" s="100" t="s">
        <v>157</v>
      </c>
      <c r="Y8" s="100"/>
    </row>
    <row r="9" spans="1:28" ht="45">
      <c r="A9" s="111" t="s">
        <v>216</v>
      </c>
      <c r="B9" s="281" t="s">
        <v>60</v>
      </c>
      <c r="C9" s="767" t="s">
        <v>61</v>
      </c>
      <c r="D9" s="768"/>
      <c r="E9" s="766" t="s">
        <v>62</v>
      </c>
      <c r="F9" s="766"/>
      <c r="G9" s="766"/>
      <c r="H9" s="766"/>
      <c r="I9" s="766"/>
      <c r="J9" s="129"/>
      <c r="K9" s="767" t="s">
        <v>63</v>
      </c>
      <c r="L9" s="768"/>
      <c r="M9" s="767" t="s">
        <v>64</v>
      </c>
      <c r="N9" s="765"/>
      <c r="O9" s="765"/>
      <c r="P9" s="765"/>
      <c r="Q9" s="130" t="s">
        <v>91</v>
      </c>
      <c r="R9" s="39" t="s">
        <v>220</v>
      </c>
      <c r="S9" s="228" t="s">
        <v>221</v>
      </c>
      <c r="T9" s="152" t="s">
        <v>101</v>
      </c>
      <c r="V9" s="152" t="s">
        <v>216</v>
      </c>
      <c r="W9" s="46" t="s">
        <v>631</v>
      </c>
      <c r="X9" s="133" t="s">
        <v>123</v>
      </c>
      <c r="Y9" s="134" t="s">
        <v>155</v>
      </c>
      <c r="Z9" s="152" t="s">
        <v>196</v>
      </c>
      <c r="AA9" s="252" t="s">
        <v>223</v>
      </c>
      <c r="AB9" s="252" t="s">
        <v>628</v>
      </c>
    </row>
    <row r="10" spans="1:28" s="121" customFormat="1">
      <c r="A10" s="66"/>
      <c r="B10" s="159"/>
      <c r="C10" s="60">
        <v>1</v>
      </c>
      <c r="D10" s="159">
        <v>2</v>
      </c>
      <c r="E10" s="256">
        <v>1</v>
      </c>
      <c r="F10" s="199">
        <v>2</v>
      </c>
      <c r="G10" s="199">
        <v>3</v>
      </c>
      <c r="H10" s="199">
        <v>4</v>
      </c>
      <c r="I10" s="199">
        <v>5</v>
      </c>
      <c r="J10" s="255">
        <v>6</v>
      </c>
      <c r="K10" s="256">
        <v>1</v>
      </c>
      <c r="L10" s="255">
        <v>2</v>
      </c>
      <c r="M10" s="256">
        <v>1</v>
      </c>
      <c r="N10" s="199">
        <v>2</v>
      </c>
      <c r="O10" s="199">
        <v>3</v>
      </c>
      <c r="P10" s="199">
        <v>4</v>
      </c>
      <c r="Q10" s="255"/>
      <c r="R10" s="262"/>
      <c r="S10" s="263"/>
      <c r="T10" s="143"/>
      <c r="V10" s="143"/>
      <c r="W10" s="143"/>
      <c r="X10" s="138"/>
      <c r="Y10" s="138"/>
      <c r="Z10" s="138"/>
      <c r="AA10" s="138"/>
    </row>
    <row r="11" spans="1:28">
      <c r="A11" s="66"/>
      <c r="B11" s="159"/>
      <c r="C11" s="60"/>
      <c r="D11" s="159"/>
      <c r="E11" s="60"/>
      <c r="F11" s="61"/>
      <c r="G11" s="61"/>
      <c r="H11" s="61"/>
      <c r="I11" s="61"/>
      <c r="J11" s="159"/>
      <c r="K11" s="233"/>
      <c r="L11" s="234"/>
      <c r="M11" s="60"/>
      <c r="N11" s="61"/>
      <c r="O11" s="61"/>
      <c r="P11" s="61"/>
      <c r="Q11" s="159"/>
      <c r="R11" s="145"/>
      <c r="S11" s="141"/>
      <c r="T11" s="143"/>
      <c r="V11" s="143"/>
      <c r="W11" s="143"/>
      <c r="X11" s="142"/>
      <c r="Y11" s="143"/>
      <c r="Z11" s="143"/>
      <c r="AA11" s="143"/>
    </row>
    <row r="12" spans="1:28">
      <c r="A12" s="80">
        <v>0</v>
      </c>
      <c r="B12" s="84"/>
      <c r="C12" s="81">
        <v>205</v>
      </c>
      <c r="D12" s="69">
        <v>204</v>
      </c>
      <c r="E12" s="72">
        <v>1.35</v>
      </c>
      <c r="F12" s="102">
        <v>1.36</v>
      </c>
      <c r="G12" s="102">
        <v>1.34</v>
      </c>
      <c r="H12" s="102">
        <v>1.34</v>
      </c>
      <c r="I12" s="102">
        <v>1.3</v>
      </c>
      <c r="J12" s="73">
        <v>1.32</v>
      </c>
      <c r="K12" s="72">
        <v>25.75</v>
      </c>
      <c r="L12" s="73">
        <v>25.53</v>
      </c>
      <c r="M12" s="60"/>
      <c r="N12" s="61"/>
      <c r="O12" s="61"/>
      <c r="P12" s="61"/>
      <c r="Q12" s="286" t="s">
        <v>94</v>
      </c>
      <c r="R12" s="292">
        <v>95</v>
      </c>
      <c r="S12" s="64">
        <f t="shared" ref="S12:S32" si="0">R12/(AVERAGE(C12:D12)*AVERAGE(E12:J12)*AVERAGE(K12:L12)*0.001)</f>
        <v>13.571598604171083</v>
      </c>
      <c r="T12" s="143">
        <v>1</v>
      </c>
      <c r="V12" s="284">
        <v>0</v>
      </c>
      <c r="W12" s="809">
        <f>MAX(E12:J12)-MIN(E12:J12)</f>
        <v>6.0000000000000053E-2</v>
      </c>
      <c r="X12" s="143">
        <f t="shared" ref="X12:X32" si="1">IF(OR(ABS(E12-$C$6)&gt;($C$6*0.1),ABS(F12-$C$6)&gt;($C$6*0.1),ABS(G12-$C$6)&gt;($C$6*0.1),ABS(H12-$C$6)&gt;($C$6*0.1),ABS(I12-$C$6)&gt;($C$6*0.1),ABS(J12-$C$6)&gt;($C$6*0.1)),1,0)</f>
        <v>0</v>
      </c>
      <c r="Y12" s="143">
        <f>IF(OR(K12&gt;Cuts!$B$16, L12&gt;Cuts!B$16), 1,0)</f>
        <v>0</v>
      </c>
      <c r="Z12" s="246">
        <f>IF(OR(C12&gt;Cuts!$C$16, D12&gt;Cuts!$C$16),1,0)</f>
        <v>0</v>
      </c>
      <c r="AA12" s="143">
        <f>IF(OR(M12="Y",N12="Y",O12="Y",P12="Y"),1,0)</f>
        <v>0</v>
      </c>
    </row>
    <row r="13" spans="1:28">
      <c r="A13" s="66">
        <v>1</v>
      </c>
      <c r="B13" s="159"/>
      <c r="C13" s="257">
        <v>205</v>
      </c>
      <c r="D13" s="54">
        <v>205</v>
      </c>
      <c r="E13" s="233">
        <v>1.32</v>
      </c>
      <c r="F13" s="71">
        <v>1.32</v>
      </c>
      <c r="G13" s="71">
        <v>1.32</v>
      </c>
      <c r="H13" s="71">
        <v>1.32</v>
      </c>
      <c r="I13" s="71">
        <v>1.27</v>
      </c>
      <c r="J13" s="234">
        <v>1.28</v>
      </c>
      <c r="K13" s="72">
        <v>26.12</v>
      </c>
      <c r="L13" s="73">
        <v>26.25</v>
      </c>
      <c r="M13" s="287"/>
      <c r="N13" s="190"/>
      <c r="O13" s="190"/>
      <c r="P13" s="191"/>
      <c r="Q13" s="286" t="s">
        <v>94</v>
      </c>
      <c r="R13" s="145">
        <v>94.6</v>
      </c>
      <c r="S13" s="64">
        <f t="shared" si="0"/>
        <v>13.504365552040811</v>
      </c>
      <c r="T13" s="143">
        <v>3</v>
      </c>
      <c r="V13" s="143">
        <v>1</v>
      </c>
      <c r="W13" s="809">
        <f t="shared" ref="W13:W32" si="2">MAX(E13:J13)-MIN(E13:J13)</f>
        <v>5.0000000000000044E-2</v>
      </c>
      <c r="X13" s="143">
        <f t="shared" si="1"/>
        <v>0</v>
      </c>
      <c r="Y13" s="143">
        <f>IF(OR(K13&gt;Cuts!$B$16, L13&gt;Cuts!B$16), 1,0)</f>
        <v>0</v>
      </c>
      <c r="Z13" s="246">
        <f>IF(OR(C13&gt;Cuts!$C$16, D13&gt;Cuts!$C$16),1,0)</f>
        <v>0</v>
      </c>
      <c r="AA13" s="143">
        <f t="shared" ref="AA13:AA32" si="3">IF(OR(M13="Y",N13="Y",O13="Y",P13="Y"),1,0)</f>
        <v>0</v>
      </c>
    </row>
    <row r="14" spans="1:28">
      <c r="A14" s="66">
        <f>A13+1</f>
        <v>2</v>
      </c>
      <c r="B14" s="159"/>
      <c r="C14" s="257">
        <v>204</v>
      </c>
      <c r="D14" s="54">
        <v>204</v>
      </c>
      <c r="E14" s="233">
        <v>1.33</v>
      </c>
      <c r="F14" s="71">
        <v>1.34</v>
      </c>
      <c r="G14" s="71">
        <v>1.33</v>
      </c>
      <c r="H14" s="71">
        <v>1.34</v>
      </c>
      <c r="I14" s="71">
        <v>1.29</v>
      </c>
      <c r="J14" s="234">
        <v>1.28</v>
      </c>
      <c r="K14" s="72">
        <v>25.97</v>
      </c>
      <c r="L14" s="73">
        <v>26.2</v>
      </c>
      <c r="M14" s="287"/>
      <c r="N14" s="190"/>
      <c r="O14" s="190"/>
      <c r="P14" s="191"/>
      <c r="Q14" s="286" t="s">
        <v>93</v>
      </c>
      <c r="R14" s="145">
        <v>94.8</v>
      </c>
      <c r="S14" s="64">
        <f t="shared" si="0"/>
        <v>13.513321076979189</v>
      </c>
      <c r="T14" s="143">
        <v>3</v>
      </c>
      <c r="V14" s="143">
        <f>V13+1</f>
        <v>2</v>
      </c>
      <c r="W14" s="809">
        <f t="shared" si="2"/>
        <v>6.0000000000000053E-2</v>
      </c>
      <c r="X14" s="143">
        <f t="shared" si="1"/>
        <v>0</v>
      </c>
      <c r="Y14" s="143">
        <f>IF(OR(K14&gt;Cuts!$B$16, L14&gt;Cuts!B$16), 1,0)</f>
        <v>0</v>
      </c>
      <c r="Z14" s="246">
        <f>IF(OR(C14&gt;Cuts!$C$16, D14&gt;Cuts!$C$16),1,0)</f>
        <v>0</v>
      </c>
      <c r="AA14" s="143">
        <f t="shared" si="3"/>
        <v>0</v>
      </c>
    </row>
    <row r="15" spans="1:28">
      <c r="A15" s="66">
        <f t="shared" ref="A15:A32" si="4">A14+1</f>
        <v>3</v>
      </c>
      <c r="B15" s="159"/>
      <c r="C15" s="257">
        <v>204</v>
      </c>
      <c r="D15" s="54">
        <v>204</v>
      </c>
      <c r="E15" s="233">
        <v>1.36</v>
      </c>
      <c r="F15" s="71">
        <v>1.35</v>
      </c>
      <c r="G15" s="71">
        <v>1.31</v>
      </c>
      <c r="H15" s="71">
        <v>1.31</v>
      </c>
      <c r="I15" s="71">
        <v>1.29</v>
      </c>
      <c r="J15" s="234">
        <v>1.29</v>
      </c>
      <c r="K15" s="72">
        <v>25.89</v>
      </c>
      <c r="L15" s="73">
        <v>26.21</v>
      </c>
      <c r="M15" s="287"/>
      <c r="N15" s="190"/>
      <c r="O15" s="190"/>
      <c r="P15" s="191"/>
      <c r="Q15" s="286" t="s">
        <v>93</v>
      </c>
      <c r="R15" s="145">
        <v>94.2</v>
      </c>
      <c r="S15" s="64">
        <f t="shared" si="0"/>
        <v>13.445834909983562</v>
      </c>
      <c r="T15" s="143">
        <v>3</v>
      </c>
      <c r="V15" s="143">
        <f t="shared" ref="V15:V32" si="5">V14+1</f>
        <v>3</v>
      </c>
      <c r="W15" s="809">
        <f t="shared" si="2"/>
        <v>7.0000000000000062E-2</v>
      </c>
      <c r="X15" s="143">
        <f t="shared" si="1"/>
        <v>0</v>
      </c>
      <c r="Y15" s="143">
        <f>IF(OR(K15&gt;Cuts!$B$16, L15&gt;Cuts!B$16), 1,0)</f>
        <v>0</v>
      </c>
      <c r="Z15" s="246">
        <f>IF(OR(C15&gt;Cuts!$C$16, D15&gt;Cuts!$C$16),1,0)</f>
        <v>0</v>
      </c>
      <c r="AA15" s="143">
        <f t="shared" si="3"/>
        <v>0</v>
      </c>
    </row>
    <row r="16" spans="1:28">
      <c r="A16" s="66">
        <f t="shared" si="4"/>
        <v>4</v>
      </c>
      <c r="B16" s="159"/>
      <c r="C16" s="257">
        <v>204</v>
      </c>
      <c r="D16" s="54">
        <v>204</v>
      </c>
      <c r="E16" s="233">
        <v>1.28</v>
      </c>
      <c r="F16" s="71">
        <v>1.28</v>
      </c>
      <c r="G16" s="71">
        <v>1.34</v>
      </c>
      <c r="H16" s="71">
        <v>1.35</v>
      </c>
      <c r="I16" s="71">
        <v>1.35</v>
      </c>
      <c r="J16" s="234">
        <v>1.34</v>
      </c>
      <c r="K16" s="72">
        <v>26.21</v>
      </c>
      <c r="L16" s="73">
        <v>26.06</v>
      </c>
      <c r="M16" s="287"/>
      <c r="N16" s="190"/>
      <c r="O16" s="190"/>
      <c r="P16" s="191"/>
      <c r="Q16" s="286" t="s">
        <v>93</v>
      </c>
      <c r="R16" s="145">
        <v>96.1</v>
      </c>
      <c r="S16" s="64">
        <f t="shared" si="0"/>
        <v>13.620763860941441</v>
      </c>
      <c r="T16" s="143">
        <v>3</v>
      </c>
      <c r="V16" s="143">
        <f t="shared" si="5"/>
        <v>4</v>
      </c>
      <c r="W16" s="809">
        <f t="shared" si="2"/>
        <v>7.0000000000000062E-2</v>
      </c>
      <c r="X16" s="143">
        <f t="shared" si="1"/>
        <v>0</v>
      </c>
      <c r="Y16" s="143">
        <f>IF(OR(K16&gt;Cuts!$B$16, L16&gt;Cuts!B$16), 1,0)</f>
        <v>0</v>
      </c>
      <c r="Z16" s="246">
        <f>IF(OR(C16&gt;Cuts!$C$16, D16&gt;Cuts!$C$16),1,0)</f>
        <v>0</v>
      </c>
      <c r="AA16" s="143">
        <f t="shared" si="3"/>
        <v>0</v>
      </c>
    </row>
    <row r="17" spans="1:28">
      <c r="A17" s="66">
        <f t="shared" si="4"/>
        <v>5</v>
      </c>
      <c r="B17" s="159"/>
      <c r="C17" s="257">
        <v>205</v>
      </c>
      <c r="D17" s="54">
        <v>204</v>
      </c>
      <c r="E17" s="233">
        <v>1.35</v>
      </c>
      <c r="F17" s="71">
        <v>1.35</v>
      </c>
      <c r="G17" s="71">
        <v>1.34</v>
      </c>
      <c r="H17" s="71">
        <v>1.35</v>
      </c>
      <c r="I17" s="71">
        <v>1.34</v>
      </c>
      <c r="J17" s="234">
        <v>1.33</v>
      </c>
      <c r="K17" s="72">
        <v>26.24</v>
      </c>
      <c r="L17" s="73">
        <v>25.95</v>
      </c>
      <c r="M17" s="287"/>
      <c r="N17" s="190"/>
      <c r="O17" s="190"/>
      <c r="P17" s="191"/>
      <c r="Q17" s="286" t="s">
        <v>94</v>
      </c>
      <c r="R17" s="145">
        <v>96.1</v>
      </c>
      <c r="S17" s="64">
        <f t="shared" si="0"/>
        <v>13.405684147018118</v>
      </c>
      <c r="T17" s="143">
        <v>3</v>
      </c>
      <c r="V17" s="143">
        <f t="shared" si="5"/>
        <v>5</v>
      </c>
      <c r="W17" s="809">
        <f t="shared" si="2"/>
        <v>2.0000000000000018E-2</v>
      </c>
      <c r="X17" s="143">
        <f t="shared" si="1"/>
        <v>0</v>
      </c>
      <c r="Y17" s="143">
        <f>IF(OR(K17&gt;Cuts!$B$16, L17&gt;Cuts!B$16), 1,0)</f>
        <v>0</v>
      </c>
      <c r="Z17" s="246">
        <f>IF(OR(C17&gt;Cuts!$C$16, D17&gt;Cuts!$C$16),1,0)</f>
        <v>0</v>
      </c>
      <c r="AA17" s="143">
        <f t="shared" si="3"/>
        <v>0</v>
      </c>
    </row>
    <row r="18" spans="1:28">
      <c r="A18" s="66">
        <f t="shared" si="4"/>
        <v>6</v>
      </c>
      <c r="B18" s="159"/>
      <c r="C18" s="257">
        <v>204</v>
      </c>
      <c r="D18" s="54">
        <v>204</v>
      </c>
      <c r="E18" s="233">
        <v>1.35</v>
      </c>
      <c r="F18" s="71">
        <v>1.34</v>
      </c>
      <c r="G18" s="71">
        <v>1.36</v>
      </c>
      <c r="H18" s="71">
        <v>1.35</v>
      </c>
      <c r="I18" s="71">
        <v>1.34</v>
      </c>
      <c r="J18" s="234">
        <v>1.34</v>
      </c>
      <c r="K18" s="72">
        <v>25.88</v>
      </c>
      <c r="L18" s="73">
        <v>26.2</v>
      </c>
      <c r="M18" s="287"/>
      <c r="N18" s="190"/>
      <c r="O18" s="190"/>
      <c r="P18" s="191"/>
      <c r="Q18" s="288"/>
      <c r="R18" s="145">
        <v>96.8</v>
      </c>
      <c r="S18" s="64">
        <f t="shared" si="0"/>
        <v>13.531442599396833</v>
      </c>
      <c r="T18" s="143">
        <v>3</v>
      </c>
      <c r="V18" s="143">
        <f t="shared" si="5"/>
        <v>6</v>
      </c>
      <c r="W18" s="809">
        <f t="shared" si="2"/>
        <v>2.0000000000000018E-2</v>
      </c>
      <c r="X18" s="143">
        <f t="shared" si="1"/>
        <v>0</v>
      </c>
      <c r="Y18" s="143">
        <f>IF(OR(K18&gt;Cuts!$B$16, L18&gt;Cuts!B$16), 1,0)</f>
        <v>0</v>
      </c>
      <c r="Z18" s="246">
        <f>IF(OR(C18&gt;Cuts!$C$16, D18&gt;Cuts!$C$16),1,0)</f>
        <v>0</v>
      </c>
      <c r="AA18" s="143">
        <f t="shared" si="3"/>
        <v>0</v>
      </c>
    </row>
    <row r="19" spans="1:28">
      <c r="A19" s="66">
        <f t="shared" si="4"/>
        <v>7</v>
      </c>
      <c r="B19" s="159"/>
      <c r="C19" s="257">
        <v>204</v>
      </c>
      <c r="D19" s="54">
        <v>204</v>
      </c>
      <c r="E19" s="233">
        <v>1.35</v>
      </c>
      <c r="F19" s="71">
        <v>1.33</v>
      </c>
      <c r="G19" s="71">
        <v>1.3</v>
      </c>
      <c r="H19" s="71">
        <v>1.3</v>
      </c>
      <c r="I19" s="71">
        <v>1.27</v>
      </c>
      <c r="J19" s="234">
        <v>1.25</v>
      </c>
      <c r="K19" s="72">
        <v>25.93</v>
      </c>
      <c r="L19" s="73">
        <v>26.22</v>
      </c>
      <c r="M19" s="287"/>
      <c r="N19" s="190"/>
      <c r="O19" s="190"/>
      <c r="P19" s="191"/>
      <c r="Q19" s="288"/>
      <c r="R19" s="145">
        <v>93.7</v>
      </c>
      <c r="S19" s="64">
        <f t="shared" si="0"/>
        <v>13.550076716282797</v>
      </c>
      <c r="T19" s="143">
        <v>3</v>
      </c>
      <c r="V19" s="143">
        <f t="shared" si="5"/>
        <v>7</v>
      </c>
      <c r="W19" s="809">
        <f t="shared" si="2"/>
        <v>0.10000000000000009</v>
      </c>
      <c r="X19" s="143">
        <f t="shared" si="1"/>
        <v>0</v>
      </c>
      <c r="Y19" s="143">
        <f>IF(OR(K19&gt;Cuts!$B$16, L19&gt;Cuts!B$16), 1,0)</f>
        <v>0</v>
      </c>
      <c r="Z19" s="246">
        <f>IF(OR(C19&gt;Cuts!$C$16, D19&gt;Cuts!$C$16),1,0)</f>
        <v>0</v>
      </c>
      <c r="AA19" s="143">
        <f t="shared" si="3"/>
        <v>0</v>
      </c>
    </row>
    <row r="20" spans="1:28">
      <c r="A20" s="66">
        <f t="shared" si="4"/>
        <v>8</v>
      </c>
      <c r="B20" s="159"/>
      <c r="C20" s="257">
        <v>204</v>
      </c>
      <c r="D20" s="54">
        <v>204</v>
      </c>
      <c r="E20" s="233">
        <v>1.36</v>
      </c>
      <c r="F20" s="71">
        <v>1.36</v>
      </c>
      <c r="G20" s="71">
        <v>1.31</v>
      </c>
      <c r="H20" s="71">
        <v>1.31</v>
      </c>
      <c r="I20" s="71">
        <v>1.28</v>
      </c>
      <c r="J20" s="234">
        <v>1.29</v>
      </c>
      <c r="K20" s="72">
        <v>26.14</v>
      </c>
      <c r="L20" s="73">
        <v>26.18</v>
      </c>
      <c r="M20" s="287"/>
      <c r="N20" s="190"/>
      <c r="O20" s="190"/>
      <c r="P20" s="191"/>
      <c r="Q20" s="286" t="s">
        <v>93</v>
      </c>
      <c r="R20" s="145">
        <v>95.1</v>
      </c>
      <c r="S20" s="64">
        <f t="shared" si="0"/>
        <v>13.517219829394776</v>
      </c>
      <c r="T20" s="143">
        <v>3</v>
      </c>
      <c r="V20" s="143">
        <f t="shared" si="5"/>
        <v>8</v>
      </c>
      <c r="W20" s="809">
        <f t="shared" si="2"/>
        <v>8.0000000000000071E-2</v>
      </c>
      <c r="X20" s="143">
        <f t="shared" si="1"/>
        <v>0</v>
      </c>
      <c r="Y20" s="143">
        <f>IF(OR(K20&gt;Cuts!$B$16, L20&gt;Cuts!B$16), 1,0)</f>
        <v>0</v>
      </c>
      <c r="Z20" s="246">
        <f>IF(OR(C20&gt;Cuts!$C$16, D20&gt;Cuts!$C$16),1,0)</f>
        <v>0</v>
      </c>
      <c r="AA20" s="143">
        <f t="shared" si="3"/>
        <v>0</v>
      </c>
    </row>
    <row r="21" spans="1:28">
      <c r="A21" s="66">
        <f t="shared" si="4"/>
        <v>9</v>
      </c>
      <c r="B21" s="159"/>
      <c r="C21" s="257">
        <v>204</v>
      </c>
      <c r="D21" s="54">
        <v>204</v>
      </c>
      <c r="E21" s="233">
        <v>1.31</v>
      </c>
      <c r="F21" s="71">
        <v>1.32</v>
      </c>
      <c r="G21" s="71">
        <v>1.31</v>
      </c>
      <c r="H21" s="71">
        <v>1.32</v>
      </c>
      <c r="I21" s="71">
        <v>1.25</v>
      </c>
      <c r="J21" s="234">
        <v>1.26</v>
      </c>
      <c r="K21" s="72">
        <v>26.3</v>
      </c>
      <c r="L21" s="73">
        <v>26.23</v>
      </c>
      <c r="M21" s="287"/>
      <c r="N21" s="190"/>
      <c r="O21" s="190"/>
      <c r="P21" s="191"/>
      <c r="Q21" s="286" t="s">
        <v>93</v>
      </c>
      <c r="R21" s="145">
        <v>93.9</v>
      </c>
      <c r="S21" s="64">
        <f t="shared" si="0"/>
        <v>13.532818316639325</v>
      </c>
      <c r="T21" s="143">
        <v>3</v>
      </c>
      <c r="V21" s="143">
        <f t="shared" si="5"/>
        <v>9</v>
      </c>
      <c r="W21" s="809">
        <f t="shared" si="2"/>
        <v>7.0000000000000062E-2</v>
      </c>
      <c r="X21" s="143">
        <f t="shared" si="1"/>
        <v>0</v>
      </c>
      <c r="Y21" s="143">
        <f>IF(OR(K21&gt;Cuts!$B$16, L21&gt;Cuts!B$16), 1,0)</f>
        <v>0</v>
      </c>
      <c r="Z21" s="246">
        <f>IF(OR(C21&gt;Cuts!$C$16, D21&gt;Cuts!$C$16),1,0)</f>
        <v>0</v>
      </c>
      <c r="AA21" s="143">
        <f t="shared" si="3"/>
        <v>0</v>
      </c>
    </row>
    <row r="22" spans="1:28">
      <c r="A22" s="66">
        <f t="shared" si="4"/>
        <v>10</v>
      </c>
      <c r="B22" s="159"/>
      <c r="C22" s="257">
        <v>204</v>
      </c>
      <c r="D22" s="54">
        <v>204</v>
      </c>
      <c r="E22" s="233">
        <v>1.32</v>
      </c>
      <c r="F22" s="71">
        <v>1.32</v>
      </c>
      <c r="G22" s="71">
        <v>1.33</v>
      </c>
      <c r="H22" s="71">
        <v>1.34</v>
      </c>
      <c r="I22" s="71">
        <v>1.33</v>
      </c>
      <c r="J22" s="234">
        <v>1.31</v>
      </c>
      <c r="K22" s="72">
        <v>26.26</v>
      </c>
      <c r="L22" s="73">
        <v>26.24</v>
      </c>
      <c r="M22" s="287"/>
      <c r="N22" s="190"/>
      <c r="O22" s="190"/>
      <c r="P22" s="191"/>
      <c r="Q22" s="288"/>
      <c r="R22" s="145">
        <v>95.4</v>
      </c>
      <c r="S22" s="64">
        <f t="shared" si="0"/>
        <v>13.445378151260506</v>
      </c>
      <c r="T22" s="143">
        <v>3</v>
      </c>
      <c r="V22" s="143">
        <f t="shared" si="5"/>
        <v>10</v>
      </c>
      <c r="W22" s="809">
        <f t="shared" si="2"/>
        <v>3.0000000000000027E-2</v>
      </c>
      <c r="X22" s="143">
        <f t="shared" si="1"/>
        <v>0</v>
      </c>
      <c r="Y22" s="143">
        <f>IF(OR(K22&gt;Cuts!$B$16, L22&gt;Cuts!B$16), 1,0)</f>
        <v>0</v>
      </c>
      <c r="Z22" s="246">
        <f>IF(OR(C22&gt;Cuts!$C$16, D22&gt;Cuts!$C$16),1,0)</f>
        <v>0</v>
      </c>
      <c r="AA22" s="143">
        <f t="shared" si="3"/>
        <v>0</v>
      </c>
    </row>
    <row r="23" spans="1:28" ht="30">
      <c r="A23" s="171">
        <f t="shared" si="4"/>
        <v>11</v>
      </c>
      <c r="B23" s="159"/>
      <c r="C23" s="257">
        <v>204</v>
      </c>
      <c r="D23" s="54">
        <v>204</v>
      </c>
      <c r="E23" s="233">
        <v>1.26</v>
      </c>
      <c r="F23" s="71">
        <v>1.27</v>
      </c>
      <c r="G23" s="71">
        <v>1.29</v>
      </c>
      <c r="H23" s="71">
        <v>1.32</v>
      </c>
      <c r="I23" s="71">
        <v>1.32</v>
      </c>
      <c r="J23" s="234">
        <v>1.3</v>
      </c>
      <c r="K23" s="72">
        <v>26.12</v>
      </c>
      <c r="L23" s="73">
        <v>26.22</v>
      </c>
      <c r="M23" s="287"/>
      <c r="N23" s="190"/>
      <c r="O23" s="190"/>
      <c r="P23" s="191"/>
      <c r="Q23" s="288" t="s">
        <v>96</v>
      </c>
      <c r="R23" s="145">
        <v>92.9</v>
      </c>
      <c r="S23" s="64">
        <f t="shared" si="0"/>
        <v>13.454617416143407</v>
      </c>
      <c r="T23" s="143">
        <v>3</v>
      </c>
      <c r="V23" s="265">
        <f t="shared" si="5"/>
        <v>11</v>
      </c>
      <c r="W23" s="809">
        <f t="shared" si="2"/>
        <v>6.0000000000000053E-2</v>
      </c>
      <c r="X23" s="143">
        <f t="shared" si="1"/>
        <v>0</v>
      </c>
      <c r="Y23" s="143">
        <f>IF(OR(K23&gt;Cuts!$B$16, L23&gt;Cuts!B$16), 1,0)</f>
        <v>0</v>
      </c>
      <c r="Z23" s="246">
        <f>IF(OR(C23&gt;Cuts!$C$16, D23&gt;Cuts!$C$16),1,0)</f>
        <v>0</v>
      </c>
      <c r="AA23" s="143">
        <f t="shared" si="3"/>
        <v>0</v>
      </c>
      <c r="AB23" t="s">
        <v>637</v>
      </c>
    </row>
    <row r="24" spans="1:28">
      <c r="A24" s="66">
        <f t="shared" si="4"/>
        <v>12</v>
      </c>
      <c r="B24" s="159"/>
      <c r="C24" s="257">
        <v>204</v>
      </c>
      <c r="D24" s="54">
        <v>204</v>
      </c>
      <c r="E24" s="233">
        <v>1.29</v>
      </c>
      <c r="F24" s="71">
        <v>1.32</v>
      </c>
      <c r="G24" s="71">
        <v>1.33</v>
      </c>
      <c r="H24" s="71">
        <v>1.33</v>
      </c>
      <c r="I24" s="71">
        <v>1.35</v>
      </c>
      <c r="J24" s="234">
        <v>1.33</v>
      </c>
      <c r="K24" s="72">
        <v>25.77</v>
      </c>
      <c r="L24" s="73">
        <v>26.05</v>
      </c>
      <c r="M24" s="287"/>
      <c r="N24" s="190"/>
      <c r="O24" s="190"/>
      <c r="P24" s="191"/>
      <c r="Q24" s="288"/>
      <c r="R24" s="145">
        <v>94.4</v>
      </c>
      <c r="S24" s="64">
        <f t="shared" si="0"/>
        <v>13.479026762864653</v>
      </c>
      <c r="T24" s="143">
        <v>3</v>
      </c>
      <c r="V24" s="143">
        <f t="shared" si="5"/>
        <v>12</v>
      </c>
      <c r="W24" s="809">
        <f t="shared" si="2"/>
        <v>6.0000000000000053E-2</v>
      </c>
      <c r="X24" s="143">
        <f t="shared" si="1"/>
        <v>0</v>
      </c>
      <c r="Y24" s="143">
        <f>IF(OR(K24&gt;Cuts!$B$16, L24&gt;Cuts!B$16), 1,0)</f>
        <v>0</v>
      </c>
      <c r="Z24" s="246">
        <f>IF(OR(C24&gt;Cuts!$C$16, D24&gt;Cuts!$C$16),1,0)</f>
        <v>0</v>
      </c>
      <c r="AA24" s="143">
        <f t="shared" si="3"/>
        <v>0</v>
      </c>
    </row>
    <row r="25" spans="1:28">
      <c r="A25" s="66">
        <f t="shared" si="4"/>
        <v>13</v>
      </c>
      <c r="B25" s="159"/>
      <c r="C25" s="257">
        <v>205</v>
      </c>
      <c r="D25" s="54">
        <v>204</v>
      </c>
      <c r="E25" s="233">
        <v>1.35</v>
      </c>
      <c r="F25" s="71">
        <v>1.36</v>
      </c>
      <c r="G25" s="71">
        <v>1.34</v>
      </c>
      <c r="H25" s="71">
        <v>1.33</v>
      </c>
      <c r="I25" s="71">
        <v>1.29</v>
      </c>
      <c r="J25" s="234">
        <v>1.29</v>
      </c>
      <c r="K25" s="72">
        <v>26.23</v>
      </c>
      <c r="L25" s="73">
        <v>26.04</v>
      </c>
      <c r="M25" s="287"/>
      <c r="N25" s="190"/>
      <c r="O25" s="190" t="s">
        <v>89</v>
      </c>
      <c r="P25" s="191"/>
      <c r="Q25" s="288"/>
      <c r="R25" s="145">
        <v>96</v>
      </c>
      <c r="S25" s="64">
        <f t="shared" si="0"/>
        <v>13.53921855725161</v>
      </c>
      <c r="T25" s="143">
        <v>3</v>
      </c>
      <c r="V25" s="143">
        <f t="shared" si="5"/>
        <v>13</v>
      </c>
      <c r="W25" s="809">
        <f t="shared" si="2"/>
        <v>7.0000000000000062E-2</v>
      </c>
      <c r="X25" s="143">
        <f t="shared" si="1"/>
        <v>0</v>
      </c>
      <c r="Y25" s="143">
        <f>IF(OR(K25&gt;Cuts!$B$16, L25&gt;Cuts!B$16), 1,0)</f>
        <v>0</v>
      </c>
      <c r="Z25" s="246">
        <f>IF(OR(C25&gt;Cuts!$C$16, D25&gt;Cuts!$C$16),1,0)</f>
        <v>0</v>
      </c>
      <c r="AA25" s="143">
        <f t="shared" si="3"/>
        <v>0</v>
      </c>
    </row>
    <row r="26" spans="1:28">
      <c r="A26" s="66">
        <f t="shared" si="4"/>
        <v>14</v>
      </c>
      <c r="B26" s="159"/>
      <c r="C26" s="257">
        <v>204</v>
      </c>
      <c r="D26" s="54">
        <v>204</v>
      </c>
      <c r="E26" s="233">
        <v>1.31</v>
      </c>
      <c r="F26" s="71">
        <v>1.32</v>
      </c>
      <c r="G26" s="71">
        <v>1.34</v>
      </c>
      <c r="H26" s="71">
        <v>1.33</v>
      </c>
      <c r="I26" s="71">
        <v>1.33</v>
      </c>
      <c r="J26" s="234">
        <v>1.35</v>
      </c>
      <c r="K26" s="72">
        <v>26.18</v>
      </c>
      <c r="L26" s="73">
        <v>26.3</v>
      </c>
      <c r="M26" s="287"/>
      <c r="N26" s="190"/>
      <c r="O26" s="190"/>
      <c r="P26" s="191"/>
      <c r="Q26" s="288"/>
      <c r="R26" s="145">
        <v>95.6</v>
      </c>
      <c r="S26" s="64">
        <f t="shared" si="0"/>
        <v>13.428028464274025</v>
      </c>
      <c r="T26" s="143">
        <v>3</v>
      </c>
      <c r="V26" s="143">
        <f t="shared" si="5"/>
        <v>14</v>
      </c>
      <c r="W26" s="809">
        <f t="shared" si="2"/>
        <v>4.0000000000000036E-2</v>
      </c>
      <c r="X26" s="143">
        <f t="shared" si="1"/>
        <v>0</v>
      </c>
      <c r="Y26" s="143">
        <f>IF(OR(K26&gt;Cuts!$B$16, L26&gt;Cuts!B$16), 1,0)</f>
        <v>0</v>
      </c>
      <c r="Z26" s="246">
        <f>IF(OR(C26&gt;Cuts!$C$16, D26&gt;Cuts!$C$16),1,0)</f>
        <v>0</v>
      </c>
      <c r="AA26" s="143">
        <f t="shared" si="3"/>
        <v>0</v>
      </c>
    </row>
    <row r="27" spans="1:28">
      <c r="A27" s="66">
        <f t="shared" si="4"/>
        <v>15</v>
      </c>
      <c r="B27" s="159"/>
      <c r="C27" s="257">
        <v>204</v>
      </c>
      <c r="D27" s="54">
        <v>204</v>
      </c>
      <c r="E27" s="235">
        <v>1.37</v>
      </c>
      <c r="F27" s="107">
        <v>1.37</v>
      </c>
      <c r="G27" s="107">
        <v>1.37</v>
      </c>
      <c r="H27" s="107">
        <v>1.38</v>
      </c>
      <c r="I27" s="107">
        <v>1.34</v>
      </c>
      <c r="J27" s="260">
        <v>1.33</v>
      </c>
      <c r="K27" s="72">
        <v>26.12</v>
      </c>
      <c r="L27" s="73">
        <v>25.75</v>
      </c>
      <c r="M27" s="287"/>
      <c r="N27" s="190"/>
      <c r="O27" s="190"/>
      <c r="P27" s="191"/>
      <c r="Q27" s="286" t="s">
        <v>94</v>
      </c>
      <c r="R27" s="145">
        <v>96.6</v>
      </c>
      <c r="S27" s="64">
        <f t="shared" si="0"/>
        <v>13.425231964660117</v>
      </c>
      <c r="T27" s="143">
        <v>3</v>
      </c>
      <c r="V27" s="143">
        <f t="shared" si="5"/>
        <v>15</v>
      </c>
      <c r="W27" s="809">
        <f t="shared" si="2"/>
        <v>4.9999999999999822E-2</v>
      </c>
      <c r="X27" s="143">
        <f t="shared" si="1"/>
        <v>0</v>
      </c>
      <c r="Y27" s="143">
        <f>IF(OR(K27&gt;Cuts!$B$16, L27&gt;Cuts!B$16), 1,0)</f>
        <v>0</v>
      </c>
      <c r="Z27" s="246">
        <f>IF(OR(C27&gt;Cuts!$C$16, D27&gt;Cuts!$C$16),1,0)</f>
        <v>0</v>
      </c>
      <c r="AA27" s="143">
        <f t="shared" si="3"/>
        <v>0</v>
      </c>
    </row>
    <row r="28" spans="1:28">
      <c r="A28" s="66">
        <f t="shared" si="4"/>
        <v>16</v>
      </c>
      <c r="B28" s="140"/>
      <c r="C28" s="257">
        <v>204</v>
      </c>
      <c r="D28" s="54">
        <v>204</v>
      </c>
      <c r="E28" s="235">
        <v>1.37</v>
      </c>
      <c r="F28" s="107">
        <v>1.37</v>
      </c>
      <c r="G28" s="107">
        <v>1.37</v>
      </c>
      <c r="H28" s="107">
        <v>1.36</v>
      </c>
      <c r="I28" s="107">
        <v>1.35</v>
      </c>
      <c r="J28" s="260">
        <v>1.36</v>
      </c>
      <c r="K28" s="72">
        <v>25.91</v>
      </c>
      <c r="L28" s="73">
        <v>26.25</v>
      </c>
      <c r="M28" s="287"/>
      <c r="N28" s="190"/>
      <c r="O28" s="190"/>
      <c r="P28" s="191"/>
      <c r="Q28" s="288"/>
      <c r="R28" s="145">
        <v>96.6</v>
      </c>
      <c r="S28" s="64">
        <f t="shared" si="0"/>
        <v>13.317948116141771</v>
      </c>
      <c r="T28" s="143">
        <v>3</v>
      </c>
      <c r="V28" s="143">
        <f t="shared" si="5"/>
        <v>16</v>
      </c>
      <c r="W28" s="809">
        <f t="shared" si="2"/>
        <v>2.0000000000000018E-2</v>
      </c>
      <c r="X28" s="143">
        <f t="shared" si="1"/>
        <v>0</v>
      </c>
      <c r="Y28" s="143">
        <f>IF(OR(K28&gt;Cuts!$B$16, L28&gt;Cuts!B$16), 1,0)</f>
        <v>0</v>
      </c>
      <c r="Z28" s="246">
        <f>IF(OR(C28&gt;Cuts!$C$16, D28&gt;Cuts!$C$16),1,0)</f>
        <v>0</v>
      </c>
      <c r="AA28" s="143">
        <f t="shared" si="3"/>
        <v>0</v>
      </c>
    </row>
    <row r="29" spans="1:28">
      <c r="A29" s="66">
        <f t="shared" si="4"/>
        <v>17</v>
      </c>
      <c r="B29" s="140"/>
      <c r="C29" s="257">
        <v>204</v>
      </c>
      <c r="D29" s="54">
        <v>204</v>
      </c>
      <c r="E29" s="235">
        <v>1.32</v>
      </c>
      <c r="F29" s="107">
        <v>1.33</v>
      </c>
      <c r="G29" s="107">
        <v>1.31</v>
      </c>
      <c r="H29" s="107">
        <v>1.32</v>
      </c>
      <c r="I29" s="107">
        <v>1.26</v>
      </c>
      <c r="J29" s="260">
        <v>1.27</v>
      </c>
      <c r="K29" s="72">
        <v>26.17</v>
      </c>
      <c r="L29" s="73">
        <v>26.25</v>
      </c>
      <c r="M29" s="287"/>
      <c r="N29" s="190"/>
      <c r="O29" s="190"/>
      <c r="P29" s="191"/>
      <c r="Q29" s="288"/>
      <c r="R29" s="145">
        <v>94</v>
      </c>
      <c r="S29" s="64">
        <f t="shared" si="0"/>
        <v>13.506128635760025</v>
      </c>
      <c r="T29" s="143">
        <v>3</v>
      </c>
      <c r="V29" s="143">
        <f t="shared" si="5"/>
        <v>17</v>
      </c>
      <c r="W29" s="809">
        <f t="shared" si="2"/>
        <v>7.0000000000000062E-2</v>
      </c>
      <c r="X29" s="143">
        <f t="shared" si="1"/>
        <v>0</v>
      </c>
      <c r="Y29" s="143">
        <f>IF(OR(K29&gt;Cuts!$B$16, L29&gt;Cuts!B$16), 1,0)</f>
        <v>0</v>
      </c>
      <c r="Z29" s="246">
        <f>IF(OR(C29&gt;Cuts!$C$16, D29&gt;Cuts!$C$16),1,0)</f>
        <v>0</v>
      </c>
      <c r="AA29" s="143">
        <f t="shared" si="3"/>
        <v>0</v>
      </c>
    </row>
    <row r="30" spans="1:28">
      <c r="A30" s="66">
        <f t="shared" si="4"/>
        <v>18</v>
      </c>
      <c r="B30" s="140"/>
      <c r="C30" s="257">
        <v>204</v>
      </c>
      <c r="D30" s="54">
        <v>204</v>
      </c>
      <c r="E30" s="235">
        <v>1.34</v>
      </c>
      <c r="F30" s="107">
        <v>1.32</v>
      </c>
      <c r="G30" s="107">
        <v>1.32</v>
      </c>
      <c r="H30" s="107">
        <v>1.32</v>
      </c>
      <c r="I30" s="107">
        <v>1.27</v>
      </c>
      <c r="J30" s="260">
        <v>1.28</v>
      </c>
      <c r="K30" s="72">
        <v>25.6</v>
      </c>
      <c r="L30" s="73">
        <v>25.7</v>
      </c>
      <c r="M30" s="289"/>
      <c r="N30" s="192"/>
      <c r="O30" s="192"/>
      <c r="P30" s="191"/>
      <c r="Q30" s="286" t="s">
        <v>93</v>
      </c>
      <c r="R30" s="145">
        <v>94</v>
      </c>
      <c r="S30" s="64">
        <f t="shared" si="0"/>
        <v>13.73067571722696</v>
      </c>
      <c r="T30" s="143">
        <v>3</v>
      </c>
      <c r="V30" s="143">
        <f t="shared" si="5"/>
        <v>18</v>
      </c>
      <c r="W30" s="809">
        <f t="shared" si="2"/>
        <v>7.0000000000000062E-2</v>
      </c>
      <c r="X30" s="143">
        <f t="shared" si="1"/>
        <v>0</v>
      </c>
      <c r="Y30" s="143">
        <f>IF(OR(K30&gt;Cuts!$B$16, L30&gt;Cuts!B$16), 1,0)</f>
        <v>0</v>
      </c>
      <c r="Z30" s="246">
        <f>IF(OR(C30&gt;Cuts!$C$16, D30&gt;Cuts!$C$16),1,0)</f>
        <v>0</v>
      </c>
      <c r="AA30" s="143">
        <f t="shared" si="3"/>
        <v>0</v>
      </c>
    </row>
    <row r="31" spans="1:28">
      <c r="A31" s="66">
        <f t="shared" si="4"/>
        <v>19</v>
      </c>
      <c r="B31" s="140"/>
      <c r="C31" s="257">
        <v>204</v>
      </c>
      <c r="D31" s="54">
        <v>204</v>
      </c>
      <c r="E31" s="235">
        <v>1.32</v>
      </c>
      <c r="F31" s="107">
        <v>1.31</v>
      </c>
      <c r="G31" s="107">
        <v>1.31</v>
      </c>
      <c r="H31" s="107">
        <v>1.31</v>
      </c>
      <c r="I31" s="107">
        <v>1.27</v>
      </c>
      <c r="J31" s="260">
        <v>1.26</v>
      </c>
      <c r="K31" s="72">
        <v>25.95</v>
      </c>
      <c r="L31" s="73">
        <v>26.24</v>
      </c>
      <c r="M31" s="289"/>
      <c r="N31" s="192"/>
      <c r="O31" s="192"/>
      <c r="P31" s="191"/>
      <c r="Q31" s="288"/>
      <c r="R31" s="145">
        <v>93.4</v>
      </c>
      <c r="S31" s="64">
        <f t="shared" si="0"/>
        <v>13.531036358300337</v>
      </c>
      <c r="T31" s="143">
        <v>3</v>
      </c>
      <c r="V31" s="143">
        <f t="shared" si="5"/>
        <v>19</v>
      </c>
      <c r="W31" s="809">
        <f t="shared" si="2"/>
        <v>6.0000000000000053E-2</v>
      </c>
      <c r="X31" s="143">
        <f t="shared" si="1"/>
        <v>0</v>
      </c>
      <c r="Y31" s="143">
        <f>IF(OR(K31&gt;Cuts!$B$16, L31&gt;Cuts!B$16), 1,0)</f>
        <v>0</v>
      </c>
      <c r="Z31" s="246">
        <f>IF(OR(C31&gt;Cuts!$C$16, D31&gt;Cuts!$C$16),1,0)</f>
        <v>0</v>
      </c>
      <c r="AA31" s="143">
        <f t="shared" si="3"/>
        <v>0</v>
      </c>
    </row>
    <row r="32" spans="1:28">
      <c r="A32" s="111">
        <f t="shared" si="4"/>
        <v>20</v>
      </c>
      <c r="B32" s="130"/>
      <c r="C32" s="258">
        <v>204</v>
      </c>
      <c r="D32" s="259">
        <v>204</v>
      </c>
      <c r="E32" s="237">
        <v>1.26</v>
      </c>
      <c r="F32" s="113">
        <v>1.25</v>
      </c>
      <c r="G32" s="113">
        <v>1.31</v>
      </c>
      <c r="H32" s="113">
        <v>1.3</v>
      </c>
      <c r="I32" s="113">
        <v>1.31</v>
      </c>
      <c r="J32" s="261">
        <v>1.3</v>
      </c>
      <c r="K32" s="88">
        <v>26.18</v>
      </c>
      <c r="L32" s="89">
        <v>25.81</v>
      </c>
      <c r="M32" s="290"/>
      <c r="N32" s="193"/>
      <c r="O32" s="193"/>
      <c r="P32" s="194"/>
      <c r="Q32" s="291"/>
      <c r="R32" s="151">
        <v>92.1</v>
      </c>
      <c r="S32" s="96">
        <f t="shared" si="0"/>
        <v>13.480667515231508</v>
      </c>
      <c r="T32" s="152">
        <v>3</v>
      </c>
      <c r="V32" s="152">
        <f t="shared" si="5"/>
        <v>20</v>
      </c>
      <c r="W32" s="809">
        <f t="shared" si="2"/>
        <v>6.0000000000000053E-2</v>
      </c>
      <c r="X32" s="152">
        <f t="shared" si="1"/>
        <v>0</v>
      </c>
      <c r="Y32" s="152">
        <f>IF(OR(K32&gt;Cuts!$B$16, L32&gt;Cuts!B$16), 1,0)</f>
        <v>0</v>
      </c>
      <c r="Z32" s="248">
        <f>IF(OR(C32&gt;Cuts!$C$16, D32&gt;Cuts!$C$16),1,0)</f>
        <v>0</v>
      </c>
      <c r="AA32" s="152">
        <f t="shared" si="3"/>
        <v>0</v>
      </c>
    </row>
    <row r="33" spans="1:27" s="97" customFormat="1">
      <c r="Y33" s="97">
        <f>SUM(Y12:Y32)</f>
        <v>0</v>
      </c>
      <c r="Z33" s="97">
        <f>SUM(Z12:Z32)</f>
        <v>0</v>
      </c>
      <c r="AA33" s="97">
        <f>SUM(AA12:AA32)</f>
        <v>0</v>
      </c>
    </row>
    <row r="35" spans="1:27">
      <c r="A35" s="66" t="s">
        <v>114</v>
      </c>
      <c r="C35" s="57" t="s">
        <v>132</v>
      </c>
      <c r="E35" s="57" t="s">
        <v>133</v>
      </c>
      <c r="K35" s="57" t="s">
        <v>130</v>
      </c>
      <c r="R35" s="57" t="s">
        <v>134</v>
      </c>
      <c r="S35" s="57" t="s">
        <v>135</v>
      </c>
    </row>
    <row r="36" spans="1:27">
      <c r="A36" s="66"/>
    </row>
    <row r="37" spans="1:27">
      <c r="A37" s="57" t="s">
        <v>116</v>
      </c>
      <c r="C37" s="57">
        <f>8*25.4</f>
        <v>203.2</v>
      </c>
      <c r="E37" s="57">
        <f>C6</f>
        <v>1.27</v>
      </c>
      <c r="K37" s="102">
        <v>25.4</v>
      </c>
    </row>
    <row r="38" spans="1:27">
      <c r="A38" s="57" t="s">
        <v>111</v>
      </c>
      <c r="C38" s="57">
        <f>MODE(C12:D32)</f>
        <v>204</v>
      </c>
      <c r="E38" s="57">
        <f>MODE(E12:J32)</f>
        <v>1.32</v>
      </c>
      <c r="K38" s="57">
        <f>MODE(K12:L32)</f>
        <v>26.12</v>
      </c>
      <c r="R38" s="57">
        <f>MODE(R12:R32)</f>
        <v>96.1</v>
      </c>
      <c r="S38" s="57" t="e">
        <f>MODE(S12:S32)</f>
        <v>#N/A</v>
      </c>
    </row>
    <row r="39" spans="1:27">
      <c r="A39" s="57" t="s">
        <v>110</v>
      </c>
      <c r="C39" s="121">
        <f>AVERAGE(C12:D32)</f>
        <v>204.11904761904762</v>
      </c>
      <c r="D39" s="121"/>
      <c r="E39" s="65">
        <f>AVERAGE(E12:J32)</f>
        <v>1.3200793650793656</v>
      </c>
      <c r="K39" s="153">
        <f>AVERAGE(K12:L32)</f>
        <v>26.066666666666666</v>
      </c>
      <c r="R39" s="104">
        <f>AVERAGE(R12:R32)</f>
        <v>94.823809523809516</v>
      </c>
      <c r="S39" s="104">
        <f>AVERAGE(S12:S32)</f>
        <v>13.501480155807759</v>
      </c>
      <c r="T39" s="104"/>
    </row>
    <row r="40" spans="1:27">
      <c r="A40" s="57" t="s">
        <v>117</v>
      </c>
      <c r="C40" s="57">
        <f>STDEV(C12:D32)</f>
        <v>0.32777006756156785</v>
      </c>
      <c r="E40" s="57">
        <f>STDEV(E12:J32)</f>
        <v>3.0996671608313878E-2</v>
      </c>
      <c r="K40" s="57">
        <f>STDEV(K12:L32)</f>
        <v>0.20475644862224193</v>
      </c>
      <c r="R40" s="57">
        <f>STDEV(R12:R32)</f>
        <v>1.2872081268790878</v>
      </c>
      <c r="S40" s="57">
        <f>STDEV(S12:S32)</f>
        <v>8.4285224460125957E-2</v>
      </c>
    </row>
    <row r="41" spans="1:27">
      <c r="A41" s="154" t="s">
        <v>118</v>
      </c>
      <c r="E41" s="65">
        <f>E39+E40</f>
        <v>1.3510760366876795</v>
      </c>
      <c r="K41" s="153">
        <f>K39+K40</f>
        <v>26.271423115288908</v>
      </c>
      <c r="R41" s="57">
        <f>R39+R40</f>
        <v>96.111017650688609</v>
      </c>
      <c r="S41" s="104">
        <f>S40+S39</f>
        <v>13.585765380267885</v>
      </c>
    </row>
    <row r="42" spans="1:27">
      <c r="A42" s="154" t="s">
        <v>119</v>
      </c>
      <c r="E42" s="65">
        <f>E39-E40</f>
        <v>1.2890826934710518</v>
      </c>
      <c r="K42" s="153">
        <f>K39-K40</f>
        <v>25.861910218044425</v>
      </c>
      <c r="R42" s="57">
        <f>R39-R40</f>
        <v>93.536601396930422</v>
      </c>
      <c r="S42" s="104">
        <f>S41-S40</f>
        <v>13.501480155807759</v>
      </c>
    </row>
    <row r="43" spans="1:27">
      <c r="A43" s="57" t="s">
        <v>124</v>
      </c>
      <c r="C43" s="153">
        <f>MAX(C12:D32)-C37</f>
        <v>1.8000000000000114</v>
      </c>
      <c r="E43" s="65">
        <f>MAX(E12:J32)-E37</f>
        <v>0.10999999999999988</v>
      </c>
      <c r="K43" s="153">
        <f>MAX(K12:L32)-$K37</f>
        <v>0.90000000000000213</v>
      </c>
    </row>
    <row r="44" spans="1:27">
      <c r="A44" s="57" t="s">
        <v>125</v>
      </c>
      <c r="C44" s="153">
        <f>MIN(C12:D32)-C37</f>
        <v>0.80000000000001137</v>
      </c>
      <c r="E44" s="65">
        <f>MIN(E12:J32)-E37</f>
        <v>-2.0000000000000018E-2</v>
      </c>
      <c r="K44" s="153">
        <f>MIN(K12:L32)-K37</f>
        <v>0.13000000000000256</v>
      </c>
    </row>
    <row r="45" spans="1:27" ht="15.75" thickBot="1"/>
    <row r="46" spans="1:27">
      <c r="A46" s="57" t="s">
        <v>146</v>
      </c>
      <c r="C46" s="40" t="s">
        <v>147</v>
      </c>
      <c r="D46" s="40" t="s">
        <v>149</v>
      </c>
      <c r="E46" s="153"/>
      <c r="F46" s="153"/>
      <c r="G46" s="153"/>
      <c r="H46" s="153"/>
      <c r="I46" s="153"/>
      <c r="J46" s="153"/>
      <c r="K46" s="153"/>
      <c r="L46" s="153"/>
    </row>
    <row r="47" spans="1:27">
      <c r="A47" s="57">
        <v>1.24</v>
      </c>
      <c r="C47" s="123">
        <v>1.24</v>
      </c>
      <c r="D47" s="124">
        <v>0</v>
      </c>
      <c r="E47" s="153"/>
      <c r="F47" s="153"/>
      <c r="G47" s="153"/>
      <c r="H47" s="153"/>
      <c r="I47" s="153"/>
      <c r="J47" s="153"/>
      <c r="K47" s="153"/>
      <c r="L47" s="153"/>
    </row>
    <row r="48" spans="1:27">
      <c r="A48" s="57">
        <f>A47+0.01</f>
        <v>1.25</v>
      </c>
      <c r="C48" s="123">
        <v>1.25</v>
      </c>
      <c r="D48" s="124">
        <v>3</v>
      </c>
      <c r="E48" s="153"/>
      <c r="F48" s="153"/>
      <c r="G48" s="153"/>
      <c r="H48" s="153"/>
      <c r="I48" s="153"/>
      <c r="J48" s="153"/>
      <c r="K48" s="153"/>
      <c r="L48" s="153"/>
    </row>
    <row r="49" spans="1:12">
      <c r="A49" s="57">
        <f t="shared" ref="A49:A61" si="6">A48+0.01</f>
        <v>1.26</v>
      </c>
      <c r="C49" s="123">
        <v>1.26</v>
      </c>
      <c r="D49" s="124">
        <v>5</v>
      </c>
      <c r="E49" s="153"/>
      <c r="F49" s="153"/>
      <c r="G49" s="153"/>
      <c r="H49" s="153"/>
      <c r="I49" s="153"/>
      <c r="J49" s="153"/>
      <c r="K49" s="153"/>
      <c r="L49" s="153"/>
    </row>
    <row r="50" spans="1:12">
      <c r="A50" s="57">
        <f t="shared" si="6"/>
        <v>1.27</v>
      </c>
      <c r="C50" s="123">
        <v>1.27</v>
      </c>
      <c r="D50" s="124">
        <v>6</v>
      </c>
      <c r="E50" s="153"/>
      <c r="F50" s="153"/>
      <c r="G50" s="153"/>
      <c r="H50" s="153"/>
      <c r="I50" s="153"/>
      <c r="J50" s="153"/>
      <c r="K50" s="153"/>
      <c r="L50" s="153"/>
    </row>
    <row r="51" spans="1:12">
      <c r="A51" s="57">
        <f t="shared" si="6"/>
        <v>1.28</v>
      </c>
      <c r="C51" s="123">
        <v>1.28</v>
      </c>
      <c r="D51" s="124">
        <v>6</v>
      </c>
      <c r="E51" s="153"/>
      <c r="F51" s="153"/>
      <c r="G51" s="153"/>
      <c r="H51" s="153"/>
      <c r="I51" s="153"/>
      <c r="J51" s="153"/>
      <c r="K51" s="153"/>
      <c r="L51" s="153"/>
    </row>
    <row r="52" spans="1:12">
      <c r="A52" s="57">
        <f t="shared" si="6"/>
        <v>1.29</v>
      </c>
      <c r="C52" s="123">
        <v>1.29</v>
      </c>
      <c r="D52" s="124">
        <v>8</v>
      </c>
      <c r="E52" s="153"/>
      <c r="F52" s="153"/>
      <c r="G52" s="153"/>
      <c r="H52" s="153"/>
      <c r="I52" s="153"/>
      <c r="J52" s="153"/>
      <c r="K52" s="153"/>
      <c r="L52" s="153"/>
    </row>
    <row r="53" spans="1:12">
      <c r="A53" s="57">
        <f t="shared" si="6"/>
        <v>1.3</v>
      </c>
      <c r="C53" s="123">
        <v>1.3</v>
      </c>
      <c r="D53" s="124">
        <v>6</v>
      </c>
      <c r="E53" s="153"/>
      <c r="F53" s="153"/>
      <c r="G53" s="153"/>
      <c r="H53" s="153"/>
      <c r="I53" s="153"/>
      <c r="J53" s="153"/>
      <c r="K53" s="153"/>
      <c r="L53" s="153"/>
    </row>
    <row r="54" spans="1:12">
      <c r="A54" s="57">
        <f t="shared" si="6"/>
        <v>1.31</v>
      </c>
      <c r="C54" s="123">
        <v>1.31</v>
      </c>
      <c r="D54" s="124">
        <v>14</v>
      </c>
      <c r="E54" s="153"/>
      <c r="F54" s="153"/>
      <c r="G54" s="153"/>
      <c r="H54" s="153"/>
      <c r="I54" s="153"/>
      <c r="J54" s="153"/>
      <c r="K54" s="153"/>
      <c r="L54" s="153"/>
    </row>
    <row r="55" spans="1:12">
      <c r="A55" s="57">
        <f t="shared" si="6"/>
        <v>1.32</v>
      </c>
      <c r="C55" s="123">
        <v>1.32</v>
      </c>
      <c r="D55" s="124">
        <v>19</v>
      </c>
      <c r="E55" s="153"/>
      <c r="F55" s="153"/>
      <c r="G55" s="153"/>
      <c r="H55" s="153"/>
      <c r="I55" s="153"/>
      <c r="J55" s="153"/>
      <c r="K55" s="153"/>
      <c r="L55" s="153"/>
    </row>
    <row r="56" spans="1:12">
      <c r="A56" s="57">
        <f t="shared" si="6"/>
        <v>1.33</v>
      </c>
      <c r="C56" s="123">
        <v>1.33</v>
      </c>
      <c r="D56" s="124">
        <v>14</v>
      </c>
      <c r="E56" s="153"/>
      <c r="F56" s="153"/>
      <c r="G56" s="153"/>
      <c r="H56" s="153"/>
      <c r="I56" s="153"/>
      <c r="J56" s="153"/>
      <c r="K56" s="153"/>
      <c r="L56" s="153"/>
    </row>
    <row r="57" spans="1:12">
      <c r="A57" s="57">
        <f>A56+0.01</f>
        <v>1.34</v>
      </c>
      <c r="C57" s="123">
        <v>1.34</v>
      </c>
      <c r="D57" s="124">
        <v>16</v>
      </c>
      <c r="E57" s="153"/>
      <c r="F57" s="153"/>
      <c r="G57" s="153"/>
      <c r="H57" s="153"/>
      <c r="I57" s="153"/>
      <c r="J57" s="153"/>
      <c r="K57" s="153"/>
      <c r="L57" s="153"/>
    </row>
    <row r="58" spans="1:12">
      <c r="A58" s="57">
        <f t="shared" si="6"/>
        <v>1.35</v>
      </c>
      <c r="C58" s="123">
        <v>1.35</v>
      </c>
      <c r="D58" s="124">
        <v>14</v>
      </c>
      <c r="E58" s="153"/>
      <c r="F58" s="153"/>
      <c r="G58" s="153"/>
      <c r="H58" s="153"/>
      <c r="I58" s="153"/>
      <c r="J58" s="153"/>
      <c r="K58" s="153"/>
      <c r="L58" s="153"/>
    </row>
    <row r="59" spans="1:12">
      <c r="A59" s="57">
        <f t="shared" si="6"/>
        <v>1.36</v>
      </c>
      <c r="C59" s="123">
        <v>1.36</v>
      </c>
      <c r="D59" s="124">
        <v>8</v>
      </c>
      <c r="E59" s="153"/>
      <c r="F59" s="153"/>
      <c r="G59" s="153"/>
      <c r="H59" s="153"/>
      <c r="I59" s="153"/>
      <c r="J59" s="153"/>
      <c r="K59" s="153"/>
      <c r="L59" s="153"/>
    </row>
    <row r="60" spans="1:12">
      <c r="A60" s="57">
        <f t="shared" si="6"/>
        <v>1.37</v>
      </c>
      <c r="C60" s="123">
        <v>1.37</v>
      </c>
      <c r="D60" s="124">
        <v>6</v>
      </c>
      <c r="E60" s="153"/>
      <c r="F60" s="153"/>
      <c r="G60" s="153"/>
      <c r="H60" s="153"/>
      <c r="I60" s="153"/>
      <c r="J60" s="153"/>
      <c r="K60" s="153"/>
      <c r="L60" s="153"/>
    </row>
    <row r="61" spans="1:12">
      <c r="A61" s="57">
        <f t="shared" si="6"/>
        <v>1.3800000000000001</v>
      </c>
      <c r="C61" s="123">
        <v>1.3800000000000001</v>
      </c>
      <c r="D61" s="124">
        <v>1</v>
      </c>
      <c r="E61" s="153"/>
      <c r="F61" s="153"/>
      <c r="G61" s="153"/>
      <c r="H61" s="153"/>
      <c r="I61" s="153"/>
      <c r="J61" s="153"/>
      <c r="K61" s="153"/>
      <c r="L61" s="153"/>
    </row>
    <row r="62" spans="1:12">
      <c r="A62" s="57">
        <f>A61+0.01</f>
        <v>1.3900000000000001</v>
      </c>
      <c r="C62" s="123">
        <v>1.3900000000000001</v>
      </c>
      <c r="D62" s="124">
        <v>0</v>
      </c>
      <c r="E62" s="153"/>
      <c r="F62" s="153"/>
      <c r="G62" s="153"/>
      <c r="H62" s="153"/>
      <c r="I62" s="153"/>
      <c r="J62" s="153"/>
      <c r="K62" s="153"/>
      <c r="L62" s="153"/>
    </row>
    <row r="63" spans="1:12" ht="15.75" thickBot="1">
      <c r="C63" s="125" t="s">
        <v>148</v>
      </c>
      <c r="D63" s="125">
        <v>0</v>
      </c>
      <c r="E63" s="153"/>
      <c r="F63" s="153"/>
      <c r="G63" s="153"/>
      <c r="H63" s="153"/>
      <c r="I63" s="153"/>
      <c r="J63" s="153"/>
      <c r="K63" s="153"/>
      <c r="L63" s="153"/>
    </row>
    <row r="64" spans="1:12">
      <c r="E64" s="153"/>
      <c r="F64" s="153"/>
      <c r="G64" s="153"/>
      <c r="H64" s="153"/>
      <c r="I64" s="153"/>
      <c r="J64" s="153"/>
      <c r="K64" s="153"/>
      <c r="L64" s="153"/>
    </row>
    <row r="65" spans="5:12">
      <c r="E65" s="153"/>
      <c r="F65" s="153"/>
      <c r="G65" s="153"/>
      <c r="H65" s="153"/>
      <c r="I65" s="153"/>
      <c r="J65" s="153"/>
      <c r="K65" s="153"/>
      <c r="L65" s="153"/>
    </row>
    <row r="66" spans="5:12">
      <c r="E66" s="153"/>
      <c r="F66" s="153"/>
      <c r="G66" s="153"/>
      <c r="H66" s="153"/>
      <c r="I66" s="153"/>
      <c r="J66" s="153"/>
      <c r="K66" s="153"/>
      <c r="L66" s="153"/>
    </row>
    <row r="67" spans="5:12">
      <c r="E67" s="153"/>
      <c r="F67" s="153"/>
      <c r="G67" s="153"/>
      <c r="H67" s="153"/>
      <c r="I67" s="153"/>
      <c r="J67" s="153"/>
      <c r="K67" s="153"/>
      <c r="L67" s="153"/>
    </row>
    <row r="68" spans="5:12">
      <c r="E68" s="153"/>
      <c r="F68" s="153"/>
      <c r="G68" s="153"/>
      <c r="H68" s="153"/>
      <c r="I68" s="153"/>
      <c r="J68" s="153"/>
      <c r="K68" s="153"/>
      <c r="L68" s="153"/>
    </row>
    <row r="69" spans="5:12">
      <c r="E69" s="153"/>
      <c r="F69" s="153"/>
      <c r="G69" s="153"/>
      <c r="H69" s="153"/>
      <c r="I69" s="153"/>
      <c r="J69" s="153"/>
      <c r="K69" s="153"/>
      <c r="L69" s="153"/>
    </row>
    <row r="70" spans="5:12">
      <c r="E70" s="153"/>
      <c r="F70" s="153"/>
      <c r="G70" s="153"/>
      <c r="H70" s="153"/>
      <c r="I70" s="153"/>
      <c r="J70" s="153"/>
      <c r="K70" s="153"/>
      <c r="L70" s="153"/>
    </row>
    <row r="71" spans="5:12">
      <c r="E71" s="153"/>
      <c r="F71" s="153"/>
      <c r="G71" s="153"/>
      <c r="H71" s="153"/>
      <c r="I71" s="153"/>
      <c r="J71" s="153"/>
      <c r="K71" s="153"/>
      <c r="L71" s="153"/>
    </row>
    <row r="72" spans="5:12">
      <c r="E72" s="153"/>
      <c r="F72" s="153"/>
      <c r="G72" s="153"/>
      <c r="H72" s="153"/>
      <c r="I72" s="153"/>
      <c r="J72" s="153"/>
      <c r="K72" s="153"/>
      <c r="L72" s="153"/>
    </row>
    <row r="73" spans="5:12">
      <c r="E73" s="153"/>
      <c r="F73" s="153"/>
      <c r="G73" s="153"/>
      <c r="H73" s="153"/>
      <c r="I73" s="153"/>
      <c r="J73" s="153"/>
      <c r="K73" s="153"/>
      <c r="L73" s="153"/>
    </row>
    <row r="74" spans="5:12">
      <c r="E74" s="153"/>
      <c r="F74" s="153"/>
      <c r="G74" s="153"/>
      <c r="H74" s="153"/>
      <c r="I74" s="153"/>
      <c r="J74" s="153"/>
      <c r="K74" s="153"/>
      <c r="L74" s="153"/>
    </row>
    <row r="75" spans="5:12">
      <c r="E75" s="153"/>
      <c r="F75" s="153"/>
      <c r="G75" s="153"/>
      <c r="H75" s="153"/>
      <c r="I75" s="153"/>
      <c r="J75" s="153"/>
      <c r="K75" s="153"/>
      <c r="L75" s="153"/>
    </row>
    <row r="76" spans="5:12">
      <c r="E76" s="153"/>
      <c r="F76" s="153"/>
      <c r="G76" s="153"/>
      <c r="H76" s="153"/>
      <c r="I76" s="153"/>
      <c r="J76" s="153"/>
      <c r="K76" s="153"/>
      <c r="L76" s="153"/>
    </row>
    <row r="77" spans="5:12">
      <c r="E77" s="153"/>
      <c r="F77" s="153"/>
      <c r="G77" s="153"/>
      <c r="H77" s="153"/>
      <c r="I77" s="153"/>
      <c r="J77" s="153"/>
      <c r="K77" s="153"/>
      <c r="L77" s="153"/>
    </row>
    <row r="78" spans="5:12">
      <c r="E78" s="153"/>
      <c r="F78" s="153"/>
      <c r="G78" s="153"/>
      <c r="H78" s="153"/>
      <c r="I78" s="153"/>
      <c r="J78" s="153"/>
      <c r="K78" s="153"/>
      <c r="L78" s="153"/>
    </row>
    <row r="79" spans="5:12">
      <c r="E79" s="153"/>
      <c r="F79" s="153"/>
      <c r="G79" s="153"/>
      <c r="H79" s="153"/>
      <c r="I79" s="153"/>
      <c r="J79" s="153"/>
      <c r="K79" s="153"/>
      <c r="L79" s="153"/>
    </row>
  </sheetData>
  <sortState ref="C47:C62">
    <sortCondition ref="C47"/>
  </sortState>
  <mergeCells count="4">
    <mergeCell ref="C9:D9"/>
    <mergeCell ref="E9:I9"/>
    <mergeCell ref="K9:L9"/>
    <mergeCell ref="M9:P9"/>
  </mergeCells>
  <pageMargins left="0.25" right="0.25" top="0.25" bottom="0.25" header="0.3" footer="0.3"/>
  <pageSetup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B56"/>
  <sheetViews>
    <sheetView topLeftCell="A8" zoomScale="70" zoomScaleNormal="70" workbookViewId="0">
      <selection activeCell="AD30" sqref="AD30"/>
    </sheetView>
  </sheetViews>
  <sheetFormatPr defaultRowHeight="15"/>
  <cols>
    <col min="1" max="1" width="6.28515625" style="57" customWidth="1"/>
    <col min="2" max="2" width="16.140625" style="57" customWidth="1"/>
    <col min="3" max="4" width="5.140625" style="57" customWidth="1"/>
    <col min="5" max="9" width="6.85546875" style="57" customWidth="1"/>
    <col min="10" max="10" width="6.85546875" style="57" bestFit="1" customWidth="1"/>
    <col min="11" max="12" width="6.85546875" style="57" customWidth="1"/>
    <col min="13" max="16" width="3.7109375" style="57" customWidth="1"/>
    <col min="17" max="17" width="5.85546875" style="57" customWidth="1"/>
    <col min="18" max="18" width="5.5703125" style="57" customWidth="1"/>
    <col min="19" max="19" width="5.140625" style="57" customWidth="1"/>
    <col min="20" max="20" width="9.85546875" style="57" customWidth="1"/>
    <col min="21" max="16384" width="9.140625" style="57"/>
  </cols>
  <sheetData>
    <row r="1" spans="1:28">
      <c r="A1" s="57" t="s">
        <v>0</v>
      </c>
      <c r="B1" s="52"/>
    </row>
    <row r="2" spans="1:28">
      <c r="A2" s="57" t="s">
        <v>1</v>
      </c>
      <c r="B2" s="52"/>
    </row>
    <row r="3" spans="1:28">
      <c r="A3" s="57" t="s">
        <v>58</v>
      </c>
      <c r="B3" s="52"/>
    </row>
    <row r="4" spans="1:28">
      <c r="B4" s="52"/>
    </row>
    <row r="5" spans="1:28">
      <c r="B5" s="57" t="s">
        <v>112</v>
      </c>
      <c r="C5" s="57" t="s">
        <v>113</v>
      </c>
    </row>
    <row r="6" spans="1:28">
      <c r="A6" s="57" t="s">
        <v>19</v>
      </c>
      <c r="B6" s="52">
        <v>0.05</v>
      </c>
      <c r="C6" s="52">
        <v>1.27</v>
      </c>
      <c r="D6" s="52"/>
      <c r="E6" s="52"/>
      <c r="F6" s="52"/>
      <c r="G6" s="52"/>
      <c r="H6" s="52"/>
      <c r="I6" s="52"/>
      <c r="J6" s="52"/>
      <c r="K6" s="127"/>
      <c r="L6" s="70"/>
      <c r="M6" s="52"/>
      <c r="N6" s="52"/>
      <c r="O6" s="52"/>
      <c r="P6" s="52"/>
      <c r="Q6" s="52"/>
      <c r="R6" s="127"/>
      <c r="S6" s="127"/>
      <c r="T6" s="127"/>
    </row>
    <row r="7" spans="1:28">
      <c r="B7" s="52"/>
      <c r="C7" s="52"/>
      <c r="D7" s="52"/>
      <c r="E7" s="52"/>
      <c r="F7" s="52"/>
      <c r="G7" s="52"/>
      <c r="H7" s="52"/>
      <c r="I7" s="52"/>
      <c r="J7" s="52"/>
      <c r="K7" s="127"/>
      <c r="L7" s="70"/>
      <c r="M7" s="52"/>
      <c r="N7" s="52"/>
      <c r="O7" s="52"/>
      <c r="P7" s="52"/>
      <c r="Q7" s="52"/>
      <c r="R7" s="127"/>
      <c r="S7" s="127"/>
      <c r="T7" s="127"/>
    </row>
    <row r="8" spans="1:28">
      <c r="A8" s="57" t="s">
        <v>115</v>
      </c>
      <c r="B8" s="52"/>
      <c r="C8" s="52"/>
      <c r="D8" s="52"/>
      <c r="E8" s="52"/>
      <c r="F8" s="52"/>
      <c r="G8" s="52"/>
      <c r="H8" s="52"/>
      <c r="I8" s="52"/>
      <c r="J8" s="52"/>
      <c r="K8" s="70"/>
      <c r="L8" s="70"/>
      <c r="M8" s="52"/>
      <c r="N8" s="52"/>
      <c r="O8" s="52"/>
      <c r="P8" s="52"/>
      <c r="Q8" s="52"/>
      <c r="R8" s="127"/>
      <c r="S8" s="127"/>
      <c r="T8" s="127"/>
      <c r="V8" s="100" t="s">
        <v>157</v>
      </c>
      <c r="Y8" s="100"/>
    </row>
    <row r="9" spans="1:28" ht="45">
      <c r="A9" s="111" t="s">
        <v>216</v>
      </c>
      <c r="B9" s="128" t="s">
        <v>60</v>
      </c>
      <c r="C9" s="767" t="s">
        <v>61</v>
      </c>
      <c r="D9" s="768"/>
      <c r="E9" s="766" t="s">
        <v>62</v>
      </c>
      <c r="F9" s="766"/>
      <c r="G9" s="766"/>
      <c r="H9" s="766"/>
      <c r="I9" s="766"/>
      <c r="J9" s="129"/>
      <c r="K9" s="767" t="s">
        <v>63</v>
      </c>
      <c r="L9" s="768"/>
      <c r="M9" s="767" t="s">
        <v>64</v>
      </c>
      <c r="N9" s="765"/>
      <c r="O9" s="765"/>
      <c r="P9" s="765"/>
      <c r="Q9" s="130" t="s">
        <v>91</v>
      </c>
      <c r="R9" s="39" t="s">
        <v>220</v>
      </c>
      <c r="S9" s="228" t="s">
        <v>221</v>
      </c>
      <c r="T9" s="152" t="s">
        <v>101</v>
      </c>
      <c r="V9" s="152" t="s">
        <v>216</v>
      </c>
      <c r="W9" s="46" t="s">
        <v>631</v>
      </c>
      <c r="X9" s="133" t="s">
        <v>123</v>
      </c>
      <c r="Y9" s="134" t="s">
        <v>155</v>
      </c>
      <c r="Z9" s="152" t="s">
        <v>196</v>
      </c>
      <c r="AA9" s="252" t="s">
        <v>223</v>
      </c>
      <c r="AB9" s="252" t="s">
        <v>628</v>
      </c>
    </row>
    <row r="10" spans="1:28" s="121" customFormat="1">
      <c r="A10" s="97"/>
      <c r="B10" s="255"/>
      <c r="C10" s="256">
        <v>1</v>
      </c>
      <c r="D10" s="255">
        <v>2</v>
      </c>
      <c r="E10" s="256">
        <v>1</v>
      </c>
      <c r="F10" s="199">
        <v>2</v>
      </c>
      <c r="G10" s="199">
        <v>3</v>
      </c>
      <c r="H10" s="199">
        <v>4</v>
      </c>
      <c r="I10" s="199">
        <v>5</v>
      </c>
      <c r="J10" s="255">
        <v>6</v>
      </c>
      <c r="K10" s="256">
        <v>1</v>
      </c>
      <c r="L10" s="255">
        <v>2</v>
      </c>
      <c r="M10" s="256">
        <v>1</v>
      </c>
      <c r="N10" s="199">
        <v>2</v>
      </c>
      <c r="O10" s="199">
        <v>3</v>
      </c>
      <c r="P10" s="199">
        <v>4</v>
      </c>
      <c r="Q10" s="255"/>
      <c r="R10" s="262"/>
      <c r="S10" s="263"/>
      <c r="T10" s="143"/>
      <c r="V10" s="143"/>
      <c r="W10" s="143"/>
      <c r="X10" s="138"/>
      <c r="Y10" s="138"/>
      <c r="Z10" s="138"/>
      <c r="AA10" s="138"/>
    </row>
    <row r="11" spans="1:28">
      <c r="A11" s="66"/>
      <c r="B11" s="140"/>
      <c r="C11" s="139"/>
      <c r="D11" s="140"/>
      <c r="E11" s="139"/>
      <c r="F11" s="66"/>
      <c r="G11" s="66"/>
      <c r="H11" s="66"/>
      <c r="I11" s="66"/>
      <c r="J11" s="140"/>
      <c r="K11" s="139"/>
      <c r="L11" s="140"/>
      <c r="M11" s="139"/>
      <c r="N11" s="66"/>
      <c r="O11" s="66"/>
      <c r="P11" s="66"/>
      <c r="Q11" s="140"/>
      <c r="R11" s="139"/>
      <c r="S11" s="140"/>
      <c r="T11" s="143"/>
      <c r="V11" s="143"/>
      <c r="W11" s="143"/>
      <c r="X11" s="143"/>
      <c r="Y11" s="143"/>
      <c r="Z11" s="143"/>
      <c r="AA11" s="143"/>
    </row>
    <row r="12" spans="1:28">
      <c r="A12" s="66">
        <v>21</v>
      </c>
      <c r="B12" s="140"/>
      <c r="C12" s="257">
        <v>103</v>
      </c>
      <c r="D12" s="54">
        <v>103</v>
      </c>
      <c r="E12" s="235">
        <v>1.29</v>
      </c>
      <c r="F12" s="107">
        <v>1.28</v>
      </c>
      <c r="G12" s="107">
        <v>1.29</v>
      </c>
      <c r="H12" s="107">
        <v>1.28</v>
      </c>
      <c r="I12" s="107"/>
      <c r="J12" s="260"/>
      <c r="K12" s="72">
        <v>26.2</v>
      </c>
      <c r="L12" s="73">
        <v>26.21</v>
      </c>
      <c r="M12" s="289"/>
      <c r="N12" s="192"/>
      <c r="O12" s="192"/>
      <c r="P12" s="191"/>
      <c r="Q12" s="288"/>
      <c r="R12" s="145">
        <v>46.4</v>
      </c>
      <c r="S12" s="64">
        <v>13.378070003072271</v>
      </c>
      <c r="T12" s="143">
        <v>3</v>
      </c>
      <c r="V12" s="143">
        <v>21</v>
      </c>
      <c r="W12" s="249">
        <f>MAX(E12:H12)-MIN(E12:H12)</f>
        <v>1.0000000000000009E-2</v>
      </c>
      <c r="X12" s="143">
        <v>0</v>
      </c>
      <c r="Y12" s="143">
        <f>IF(OR(K12&gt;Cuts!$B$16, L12&gt;Cuts!B$16), 1,0)</f>
        <v>0</v>
      </c>
      <c r="Z12" s="246">
        <f>IF(OR(C12&gt;Cuts!$D$16, D12&gt;Cuts!$D$16),1,0)</f>
        <v>0</v>
      </c>
      <c r="AA12" s="143">
        <f>IF(OR(M12="Y",N12="Y",O12="Y",P12="Y"),1,0)</f>
        <v>0</v>
      </c>
    </row>
    <row r="13" spans="1:28">
      <c r="A13" s="171">
        <v>22</v>
      </c>
      <c r="B13" s="140"/>
      <c r="C13" s="257">
        <v>103</v>
      </c>
      <c r="D13" s="54">
        <v>103</v>
      </c>
      <c r="E13" s="235">
        <v>1.27</v>
      </c>
      <c r="F13" s="107">
        <v>1.3</v>
      </c>
      <c r="G13" s="107">
        <v>1.27</v>
      </c>
      <c r="H13" s="107">
        <v>1.28</v>
      </c>
      <c r="I13" s="107"/>
      <c r="J13" s="140"/>
      <c r="K13" s="72">
        <v>26.34</v>
      </c>
      <c r="L13" s="73">
        <v>26.25</v>
      </c>
      <c r="M13" s="289"/>
      <c r="N13" s="192"/>
      <c r="O13" s="192"/>
      <c r="P13" s="191"/>
      <c r="Q13" s="288"/>
      <c r="R13" s="145">
        <v>46.4</v>
      </c>
      <c r="S13" s="64">
        <v>13.384360052208233</v>
      </c>
      <c r="T13" s="143">
        <v>3</v>
      </c>
      <c r="V13" s="265">
        <v>22</v>
      </c>
      <c r="W13" s="249">
        <f t="shared" ref="W13:W25" si="0">MAX(E13:H13)-MIN(E13:H13)</f>
        <v>3.0000000000000027E-2</v>
      </c>
      <c r="X13" s="143">
        <v>0</v>
      </c>
      <c r="Y13" s="143">
        <f t="shared" ref="Y13:Y25" si="1">IF(OR(K13&gt;27, L13&gt;27), 1,0)</f>
        <v>0</v>
      </c>
      <c r="Z13" s="246">
        <f>IF(OR(C13&gt;Cuts!$D$16, D13&gt;Cuts!$D$16),1,0)</f>
        <v>0</v>
      </c>
      <c r="AA13" s="143">
        <f t="shared" ref="AA13:AA24" si="2">IF(OR(M13="Y",N13="Y",O13="Y",P13="Y"),1,0)</f>
        <v>0</v>
      </c>
      <c r="AB13" t="s">
        <v>633</v>
      </c>
    </row>
    <row r="14" spans="1:28">
      <c r="A14" s="66">
        <v>23</v>
      </c>
      <c r="B14" s="140"/>
      <c r="C14" s="257">
        <v>103</v>
      </c>
      <c r="D14" s="54">
        <v>103</v>
      </c>
      <c r="E14" s="235">
        <v>1.28</v>
      </c>
      <c r="F14" s="107">
        <v>1.29</v>
      </c>
      <c r="G14" s="107">
        <v>1.29</v>
      </c>
      <c r="H14" s="107">
        <v>1.3</v>
      </c>
      <c r="I14" s="107"/>
      <c r="J14" s="140"/>
      <c r="K14" s="72">
        <v>26.2</v>
      </c>
      <c r="L14" s="73">
        <v>26.22</v>
      </c>
      <c r="M14" s="289"/>
      <c r="N14" s="192"/>
      <c r="O14" s="192"/>
      <c r="P14" s="191"/>
      <c r="Q14" s="288"/>
      <c r="R14" s="145">
        <v>46.5</v>
      </c>
      <c r="S14" s="64">
        <v>13.352389634100588</v>
      </c>
      <c r="T14" s="143">
        <v>3</v>
      </c>
      <c r="V14" s="143">
        <v>23</v>
      </c>
      <c r="W14" s="249">
        <f t="shared" si="0"/>
        <v>2.0000000000000018E-2</v>
      </c>
      <c r="X14" s="143">
        <v>0</v>
      </c>
      <c r="Y14" s="143">
        <f t="shared" si="1"/>
        <v>0</v>
      </c>
      <c r="Z14" s="246">
        <f>IF(OR(C14&gt;Cuts!$D$16, D14&gt;Cuts!$D$16),1,0)</f>
        <v>0</v>
      </c>
      <c r="AA14" s="143">
        <f t="shared" si="2"/>
        <v>0</v>
      </c>
    </row>
    <row r="15" spans="1:28">
      <c r="A15" s="66">
        <v>24</v>
      </c>
      <c r="B15" s="140"/>
      <c r="C15" s="257">
        <v>103</v>
      </c>
      <c r="D15" s="54">
        <v>103</v>
      </c>
      <c r="E15" s="235">
        <v>1.3</v>
      </c>
      <c r="F15" s="107">
        <v>1.3</v>
      </c>
      <c r="G15" s="107">
        <v>1.31</v>
      </c>
      <c r="H15" s="107">
        <v>1.3</v>
      </c>
      <c r="I15" s="107"/>
      <c r="J15" s="140"/>
      <c r="K15" s="72">
        <v>26.2</v>
      </c>
      <c r="L15" s="73">
        <v>26.15</v>
      </c>
      <c r="M15" s="289"/>
      <c r="N15" s="192"/>
      <c r="O15" s="192"/>
      <c r="P15" s="191"/>
      <c r="Q15" s="288"/>
      <c r="R15" s="145">
        <v>46.9</v>
      </c>
      <c r="S15" s="64">
        <v>13.355839631749031</v>
      </c>
      <c r="T15" s="143">
        <v>3</v>
      </c>
      <c r="V15" s="143">
        <v>24</v>
      </c>
      <c r="W15" s="249">
        <f t="shared" si="0"/>
        <v>1.0000000000000009E-2</v>
      </c>
      <c r="X15" s="143">
        <v>0</v>
      </c>
      <c r="Y15" s="143">
        <f t="shared" si="1"/>
        <v>0</v>
      </c>
      <c r="Z15" s="246">
        <f>IF(OR(C15&gt;Cuts!$D$16, D15&gt;Cuts!$D$16),1,0)</f>
        <v>0</v>
      </c>
      <c r="AA15" s="143">
        <f t="shared" si="2"/>
        <v>0</v>
      </c>
    </row>
    <row r="16" spans="1:28">
      <c r="A16" s="804">
        <v>25</v>
      </c>
      <c r="B16" s="140" t="s">
        <v>83</v>
      </c>
      <c r="C16" s="257">
        <v>103</v>
      </c>
      <c r="D16" s="54">
        <v>103</v>
      </c>
      <c r="E16" s="235">
        <v>1.3</v>
      </c>
      <c r="F16" s="107">
        <v>1.3</v>
      </c>
      <c r="G16" s="107">
        <v>1.29</v>
      </c>
      <c r="H16" s="107">
        <v>1.3</v>
      </c>
      <c r="I16" s="107"/>
      <c r="J16" s="140"/>
      <c r="K16" s="72">
        <v>26.23</v>
      </c>
      <c r="L16" s="73">
        <v>26.37</v>
      </c>
      <c r="M16" s="289"/>
      <c r="N16" s="192"/>
      <c r="O16" s="192"/>
      <c r="P16" s="191"/>
      <c r="Q16" s="288"/>
      <c r="R16" s="145">
        <v>47</v>
      </c>
      <c r="S16" s="64">
        <v>13.372035417969638</v>
      </c>
      <c r="T16" s="143">
        <v>3</v>
      </c>
      <c r="V16" s="803">
        <v>25</v>
      </c>
      <c r="W16" s="249">
        <f t="shared" si="0"/>
        <v>1.0000000000000009E-2</v>
      </c>
      <c r="X16" s="143">
        <v>0</v>
      </c>
      <c r="Y16" s="143">
        <f t="shared" si="1"/>
        <v>0</v>
      </c>
      <c r="Z16" s="246">
        <f>IF(OR(C16&gt;Cuts!$D$16, D16&gt;Cuts!$D$16),1,0)</f>
        <v>0</v>
      </c>
      <c r="AA16" s="143">
        <f t="shared" si="2"/>
        <v>0</v>
      </c>
      <c r="AB16" t="s">
        <v>638</v>
      </c>
    </row>
    <row r="17" spans="1:28">
      <c r="A17" s="66">
        <v>26</v>
      </c>
      <c r="B17" s="140"/>
      <c r="C17" s="257">
        <v>103</v>
      </c>
      <c r="D17" s="54">
        <v>103</v>
      </c>
      <c r="E17" s="235">
        <v>1.28</v>
      </c>
      <c r="F17" s="107">
        <v>1.28</v>
      </c>
      <c r="G17" s="107">
        <v>1.28</v>
      </c>
      <c r="H17" s="107">
        <v>1.28</v>
      </c>
      <c r="I17" s="107"/>
      <c r="J17" s="140"/>
      <c r="K17" s="72">
        <v>26.26</v>
      </c>
      <c r="L17" s="73">
        <v>26.26</v>
      </c>
      <c r="M17" s="289"/>
      <c r="N17" s="192"/>
      <c r="O17" s="192"/>
      <c r="P17" s="191"/>
      <c r="Q17" s="286" t="s">
        <v>93</v>
      </c>
      <c r="R17" s="145">
        <v>46.3</v>
      </c>
      <c r="S17" s="64">
        <v>13.373315020075568</v>
      </c>
      <c r="T17" s="143">
        <v>3</v>
      </c>
      <c r="V17" s="143">
        <v>26</v>
      </c>
      <c r="W17" s="249">
        <f t="shared" si="0"/>
        <v>0</v>
      </c>
      <c r="X17" s="143">
        <v>0</v>
      </c>
      <c r="Y17" s="143">
        <f t="shared" si="1"/>
        <v>0</v>
      </c>
      <c r="Z17" s="246">
        <f>IF(OR(C17&gt;Cuts!$D$16, D17&gt;Cuts!$D$16),1,0)</f>
        <v>0</v>
      </c>
      <c r="AA17" s="143">
        <f t="shared" si="2"/>
        <v>0</v>
      </c>
    </row>
    <row r="18" spans="1:28">
      <c r="A18" s="66">
        <v>27</v>
      </c>
      <c r="B18" s="140"/>
      <c r="C18" s="257">
        <v>103</v>
      </c>
      <c r="D18" s="54">
        <v>103</v>
      </c>
      <c r="E18" s="235">
        <v>1.28</v>
      </c>
      <c r="F18" s="107">
        <v>1.28</v>
      </c>
      <c r="G18" s="107">
        <v>1.27</v>
      </c>
      <c r="H18" s="107">
        <v>1.27</v>
      </c>
      <c r="I18" s="107"/>
      <c r="J18" s="140"/>
      <c r="K18" s="72">
        <v>26.21</v>
      </c>
      <c r="L18" s="73">
        <v>26.25</v>
      </c>
      <c r="M18" s="289"/>
      <c r="N18" s="192"/>
      <c r="O18" s="192"/>
      <c r="P18" s="191"/>
      <c r="Q18" s="288"/>
      <c r="R18" s="145">
        <v>46</v>
      </c>
      <c r="S18" s="64">
        <v>13.354023360396278</v>
      </c>
      <c r="T18" s="143">
        <v>3</v>
      </c>
      <c r="V18" s="143">
        <v>27</v>
      </c>
      <c r="W18" s="249">
        <f t="shared" si="0"/>
        <v>1.0000000000000009E-2</v>
      </c>
      <c r="X18" s="143">
        <v>0</v>
      </c>
      <c r="Y18" s="143">
        <f t="shared" si="1"/>
        <v>0</v>
      </c>
      <c r="Z18" s="246">
        <f>IF(OR(C18&gt;Cuts!$D$16, D18&gt;Cuts!$D$16),1,0)</f>
        <v>0</v>
      </c>
      <c r="AA18" s="143">
        <f t="shared" si="2"/>
        <v>0</v>
      </c>
    </row>
    <row r="19" spans="1:28">
      <c r="A19" s="66">
        <v>28</v>
      </c>
      <c r="B19" s="140"/>
      <c r="C19" s="257">
        <v>103</v>
      </c>
      <c r="D19" s="54">
        <v>103</v>
      </c>
      <c r="E19" s="235">
        <v>1.3</v>
      </c>
      <c r="F19" s="107">
        <v>1.3</v>
      </c>
      <c r="G19" s="107">
        <v>1.3</v>
      </c>
      <c r="H19" s="107">
        <v>1.31</v>
      </c>
      <c r="I19" s="107"/>
      <c r="J19" s="140"/>
      <c r="K19" s="72">
        <v>26.35</v>
      </c>
      <c r="L19" s="73">
        <v>26.23</v>
      </c>
      <c r="M19" s="289"/>
      <c r="N19" s="192"/>
      <c r="O19" s="192"/>
      <c r="P19" s="191"/>
      <c r="Q19" s="288"/>
      <c r="R19" s="145">
        <v>47.1</v>
      </c>
      <c r="S19" s="64">
        <v>13.35412276324557</v>
      </c>
      <c r="T19" s="143">
        <v>3</v>
      </c>
      <c r="V19" s="143">
        <v>28</v>
      </c>
      <c r="W19" s="249">
        <f t="shared" si="0"/>
        <v>1.0000000000000009E-2</v>
      </c>
      <c r="X19" s="143">
        <v>0</v>
      </c>
      <c r="Y19" s="143">
        <f t="shared" si="1"/>
        <v>0</v>
      </c>
      <c r="Z19" s="246">
        <f>IF(OR(C19&gt;Cuts!$D$16, D19&gt;Cuts!$D$16),1,0)</f>
        <v>0</v>
      </c>
      <c r="AA19" s="143">
        <f t="shared" si="2"/>
        <v>0</v>
      </c>
    </row>
    <row r="20" spans="1:28">
      <c r="A20" s="171">
        <v>29</v>
      </c>
      <c r="B20" s="140"/>
      <c r="C20" s="257">
        <v>103</v>
      </c>
      <c r="D20" s="54">
        <v>103</v>
      </c>
      <c r="E20" s="235">
        <v>1.25</v>
      </c>
      <c r="F20" s="107">
        <v>1.27</v>
      </c>
      <c r="G20" s="107">
        <v>1.26</v>
      </c>
      <c r="H20" s="107">
        <v>1.28</v>
      </c>
      <c r="I20" s="107"/>
      <c r="J20" s="140"/>
      <c r="K20" s="72">
        <v>26.25</v>
      </c>
      <c r="L20" s="73">
        <v>26.19</v>
      </c>
      <c r="M20" s="289"/>
      <c r="N20" s="192"/>
      <c r="O20" s="192"/>
      <c r="P20" s="191"/>
      <c r="Q20" s="286" t="s">
        <v>93</v>
      </c>
      <c r="R20" s="145">
        <v>45.4</v>
      </c>
      <c r="S20" s="64">
        <v>13.289095281613051</v>
      </c>
      <c r="T20" s="143">
        <v>3</v>
      </c>
      <c r="V20" s="265">
        <v>29</v>
      </c>
      <c r="W20" s="249">
        <f t="shared" si="0"/>
        <v>3.0000000000000027E-2</v>
      </c>
      <c r="X20" s="143">
        <v>0</v>
      </c>
      <c r="Y20" s="143">
        <f t="shared" si="1"/>
        <v>0</v>
      </c>
      <c r="Z20" s="246">
        <f>IF(OR(C20&gt;Cuts!$D$16, D20&gt;Cuts!$D$16),1,0)</f>
        <v>0</v>
      </c>
      <c r="AA20" s="143">
        <f t="shared" si="2"/>
        <v>0</v>
      </c>
      <c r="AB20" t="s">
        <v>633</v>
      </c>
    </row>
    <row r="21" spans="1:28">
      <c r="A21" s="66">
        <v>30</v>
      </c>
      <c r="B21" s="140"/>
      <c r="C21" s="257">
        <v>103</v>
      </c>
      <c r="D21" s="54">
        <v>103</v>
      </c>
      <c r="E21" s="235">
        <v>1.29</v>
      </c>
      <c r="F21" s="107">
        <v>1.29</v>
      </c>
      <c r="G21" s="107">
        <v>1.29</v>
      </c>
      <c r="H21" s="107">
        <v>1.28</v>
      </c>
      <c r="I21" s="107"/>
      <c r="J21" s="140"/>
      <c r="K21" s="72">
        <v>26.22</v>
      </c>
      <c r="L21" s="73">
        <v>26.23</v>
      </c>
      <c r="M21" s="289"/>
      <c r="N21" s="192"/>
      <c r="O21" s="192"/>
      <c r="P21" s="191"/>
      <c r="Q21" s="288"/>
      <c r="R21" s="145">
        <v>46.4</v>
      </c>
      <c r="S21" s="64">
        <v>13.341910446918952</v>
      </c>
      <c r="T21" s="143">
        <v>3</v>
      </c>
      <c r="V21" s="143">
        <v>30</v>
      </c>
      <c r="W21" s="249">
        <f t="shared" si="0"/>
        <v>1.0000000000000009E-2</v>
      </c>
      <c r="X21" s="143">
        <v>0</v>
      </c>
      <c r="Y21" s="143">
        <f t="shared" si="1"/>
        <v>0</v>
      </c>
      <c r="Z21" s="246">
        <f>IF(OR(C21&gt;Cuts!$D$16, D21&gt;Cuts!$D$16),1,0)</f>
        <v>0</v>
      </c>
      <c r="AA21" s="143">
        <f t="shared" si="2"/>
        <v>0</v>
      </c>
    </row>
    <row r="22" spans="1:28">
      <c r="A22" s="66">
        <v>31</v>
      </c>
      <c r="B22" s="140"/>
      <c r="C22" s="257">
        <v>103</v>
      </c>
      <c r="D22" s="54">
        <v>103</v>
      </c>
      <c r="E22" s="235">
        <v>1.27</v>
      </c>
      <c r="F22" s="107">
        <v>1.28</v>
      </c>
      <c r="G22" s="107">
        <v>1.26</v>
      </c>
      <c r="H22" s="107">
        <v>1.27</v>
      </c>
      <c r="I22" s="107"/>
      <c r="J22" s="140"/>
      <c r="K22" s="72">
        <v>26.3</v>
      </c>
      <c r="L22" s="73">
        <v>26.18</v>
      </c>
      <c r="M22" s="289"/>
      <c r="N22" s="192"/>
      <c r="O22" s="192"/>
      <c r="P22" s="191"/>
      <c r="Q22" s="288"/>
      <c r="R22" s="145">
        <v>46.2</v>
      </c>
      <c r="S22" s="64">
        <v>13.459756377244224</v>
      </c>
      <c r="T22" s="143">
        <v>3</v>
      </c>
      <c r="V22" s="143">
        <v>31</v>
      </c>
      <c r="W22" s="249">
        <f t="shared" si="0"/>
        <v>2.0000000000000018E-2</v>
      </c>
      <c r="X22" s="143">
        <v>0</v>
      </c>
      <c r="Y22" s="143">
        <f t="shared" si="1"/>
        <v>0</v>
      </c>
      <c r="Z22" s="246">
        <f>IF(OR(C22&gt;Cuts!$D$16, D22&gt;Cuts!$D$16),1,0)</f>
        <v>0</v>
      </c>
      <c r="AA22" s="143">
        <f t="shared" si="2"/>
        <v>0</v>
      </c>
    </row>
    <row r="23" spans="1:28">
      <c r="A23" s="66">
        <v>32</v>
      </c>
      <c r="B23" s="140"/>
      <c r="C23" s="257">
        <v>103</v>
      </c>
      <c r="D23" s="54">
        <v>103</v>
      </c>
      <c r="E23" s="235">
        <v>1.27</v>
      </c>
      <c r="F23" s="107">
        <v>1.26</v>
      </c>
      <c r="G23" s="107">
        <v>1.28</v>
      </c>
      <c r="H23" s="107">
        <v>1.27</v>
      </c>
      <c r="I23" s="107"/>
      <c r="J23" s="140"/>
      <c r="K23" s="72">
        <v>26.18</v>
      </c>
      <c r="L23" s="73">
        <v>26.2</v>
      </c>
      <c r="M23" s="289"/>
      <c r="N23" s="192"/>
      <c r="O23" s="192"/>
      <c r="P23" s="191"/>
      <c r="Q23" s="288"/>
      <c r="R23" s="145">
        <v>45.9</v>
      </c>
      <c r="S23" s="64">
        <v>13.397884868034774</v>
      </c>
      <c r="T23" s="143">
        <v>3</v>
      </c>
      <c r="V23" s="143">
        <v>32</v>
      </c>
      <c r="W23" s="249">
        <f t="shared" si="0"/>
        <v>2.0000000000000018E-2</v>
      </c>
      <c r="X23" s="143">
        <v>0</v>
      </c>
      <c r="Y23" s="143">
        <f t="shared" si="1"/>
        <v>0</v>
      </c>
      <c r="Z23" s="246">
        <f>IF(OR(C23&gt;Cuts!$D$16, D23&gt;Cuts!$D$16),1,0)</f>
        <v>0</v>
      </c>
      <c r="AA23" s="143">
        <f t="shared" si="2"/>
        <v>0</v>
      </c>
    </row>
    <row r="24" spans="1:28">
      <c r="A24" s="171">
        <v>33</v>
      </c>
      <c r="B24" s="140"/>
      <c r="C24" s="257">
        <v>103</v>
      </c>
      <c r="D24" s="54">
        <v>103</v>
      </c>
      <c r="E24" s="235">
        <v>1.27</v>
      </c>
      <c r="F24" s="107">
        <v>1.28</v>
      </c>
      <c r="G24" s="107">
        <v>1.29</v>
      </c>
      <c r="H24" s="107">
        <v>1.28</v>
      </c>
      <c r="I24" s="107">
        <v>1.25</v>
      </c>
      <c r="J24" s="260">
        <v>1.26</v>
      </c>
      <c r="K24" s="72">
        <v>26.2</v>
      </c>
      <c r="L24" s="73">
        <v>26.23</v>
      </c>
      <c r="M24" s="289"/>
      <c r="N24" s="192"/>
      <c r="O24" s="192"/>
      <c r="P24" s="191"/>
      <c r="Q24" s="286" t="s">
        <v>93</v>
      </c>
      <c r="R24" s="145">
        <v>46.2</v>
      </c>
      <c r="S24" s="64">
        <v>13.454934912516846</v>
      </c>
      <c r="T24" s="143">
        <v>3</v>
      </c>
      <c r="V24" s="265">
        <v>33</v>
      </c>
      <c r="W24" s="249">
        <f t="shared" si="0"/>
        <v>2.0000000000000018E-2</v>
      </c>
      <c r="X24" s="143">
        <v>0</v>
      </c>
      <c r="Y24" s="143">
        <f t="shared" si="1"/>
        <v>0</v>
      </c>
      <c r="Z24" s="246">
        <f>IF(OR(C24&gt;Cuts!$D$16, D24&gt;Cuts!$D$16),1,0)</f>
        <v>0</v>
      </c>
      <c r="AA24" s="143">
        <f t="shared" si="2"/>
        <v>0</v>
      </c>
      <c r="AB24" t="s">
        <v>633</v>
      </c>
    </row>
    <row r="25" spans="1:28" s="111" customFormat="1">
      <c r="A25" s="810">
        <v>34</v>
      </c>
      <c r="B25" s="130"/>
      <c r="C25" s="258">
        <v>103</v>
      </c>
      <c r="D25" s="259">
        <v>103</v>
      </c>
      <c r="E25" s="237">
        <v>1.26</v>
      </c>
      <c r="F25" s="113">
        <v>1.28</v>
      </c>
      <c r="G25" s="113">
        <v>1.25</v>
      </c>
      <c r="H25" s="113">
        <v>1.27</v>
      </c>
      <c r="I25" s="113"/>
      <c r="J25" s="130"/>
      <c r="K25" s="88">
        <v>26.22</v>
      </c>
      <c r="L25" s="89">
        <v>26.14</v>
      </c>
      <c r="M25" s="290"/>
      <c r="N25" s="193"/>
      <c r="O25" s="193"/>
      <c r="P25" s="194"/>
      <c r="Q25" s="291"/>
      <c r="R25" s="151">
        <v>45.4</v>
      </c>
      <c r="S25" s="96">
        <v>13.309399476084577</v>
      </c>
      <c r="T25" s="152">
        <v>3</v>
      </c>
      <c r="V25" s="811">
        <v>34</v>
      </c>
      <c r="W25" s="251">
        <f t="shared" si="0"/>
        <v>3.0000000000000027E-2</v>
      </c>
      <c r="X25" s="152">
        <v>0</v>
      </c>
      <c r="Y25" s="152">
        <f t="shared" si="1"/>
        <v>0</v>
      </c>
      <c r="Z25" s="248">
        <f>IF(OR(C25&gt;Cuts!$D$16, D25&gt;Cuts!$D$16),1,0)</f>
        <v>0</v>
      </c>
      <c r="AA25" s="152">
        <f>IF(OR(M25="Y",N25="Y",O25="Y",P25="Y"),1,0)</f>
        <v>0</v>
      </c>
      <c r="AB25" s="32" t="s">
        <v>633</v>
      </c>
    </row>
    <row r="26" spans="1:28">
      <c r="Y26" s="57">
        <f>SUM(Y12:Y25)</f>
        <v>0</v>
      </c>
      <c r="Z26" s="57">
        <f>SUM(Z12:Z25)</f>
        <v>0</v>
      </c>
      <c r="AA26" s="57">
        <f>SUM(AA12:AA25)</f>
        <v>0</v>
      </c>
    </row>
    <row r="28" spans="1:28">
      <c r="A28" s="66" t="s">
        <v>114</v>
      </c>
      <c r="C28" s="57" t="s">
        <v>132</v>
      </c>
      <c r="E28" s="57" t="s">
        <v>133</v>
      </c>
      <c r="K28" s="57" t="s">
        <v>130</v>
      </c>
      <c r="R28" s="57" t="s">
        <v>134</v>
      </c>
      <c r="S28" s="57" t="s">
        <v>135</v>
      </c>
    </row>
    <row r="30" spans="1:28">
      <c r="A30" s="57" t="s">
        <v>116</v>
      </c>
      <c r="C30" s="57">
        <f>4*25.4</f>
        <v>101.6</v>
      </c>
      <c r="E30" s="57">
        <f>C6</f>
        <v>1.27</v>
      </c>
      <c r="K30" s="102">
        <v>25.4</v>
      </c>
    </row>
    <row r="31" spans="1:28">
      <c r="A31" s="57" t="s">
        <v>111</v>
      </c>
      <c r="C31" s="57">
        <f>MODE(C12:D25)</f>
        <v>103</v>
      </c>
      <c r="E31" s="57">
        <f>MODE(E12:H25)</f>
        <v>1.28</v>
      </c>
      <c r="K31" s="57">
        <f>MODE(K12:L25)</f>
        <v>26.2</v>
      </c>
      <c r="R31" s="57">
        <f>MODE(R12:R25)</f>
        <v>46.4</v>
      </c>
      <c r="S31" s="57" t="e">
        <f>MODE(#REF!)</f>
        <v>#REF!</v>
      </c>
    </row>
    <row r="32" spans="1:28">
      <c r="A32" s="57" t="s">
        <v>110</v>
      </c>
      <c r="C32" s="121">
        <f>AVERAGE(C12:D25)</f>
        <v>103</v>
      </c>
      <c r="E32" s="65">
        <f>AVERAGE(E12:H25)</f>
        <v>1.2821428571428577</v>
      </c>
      <c r="K32" s="153">
        <f>AVERAGE(K12:L25)</f>
        <v>26.231071428571425</v>
      </c>
      <c r="R32" s="104">
        <f>AVERAGE(R12:R25)</f>
        <v>46.292857142857144</v>
      </c>
      <c r="S32" s="104">
        <f>AVERAGE(S12:S25)</f>
        <v>13.369795517516398</v>
      </c>
    </row>
    <row r="33" spans="1:25">
      <c r="A33" s="57" t="s">
        <v>117</v>
      </c>
      <c r="C33" s="57">
        <f>STDEV(C12:D25)</f>
        <v>0</v>
      </c>
      <c r="D33" s="173"/>
      <c r="E33" s="57">
        <f>STDEV(E12:H25)</f>
        <v>1.436084141802863E-2</v>
      </c>
      <c r="K33" s="57">
        <f>STDEV(K12:L25)</f>
        <v>5.4659842779671952E-2</v>
      </c>
      <c r="R33" s="57">
        <f>STDEV(R12:R25)</f>
        <v>0.51510161165435653</v>
      </c>
      <c r="S33" s="57">
        <f>STDEV(S12:S25)</f>
        <v>4.67057862172848E-2</v>
      </c>
      <c r="Y33"/>
    </row>
    <row r="34" spans="1:25">
      <c r="A34" s="154" t="s">
        <v>118</v>
      </c>
      <c r="D34" s="173"/>
      <c r="E34" s="65">
        <f>E32+E33</f>
        <v>1.2965036985608864</v>
      </c>
      <c r="K34" s="153">
        <f>K32+K33</f>
        <v>26.285731271351096</v>
      </c>
      <c r="R34" s="104">
        <f>R32+R33</f>
        <v>46.807958754511503</v>
      </c>
      <c r="S34" s="104">
        <f>S32+S33</f>
        <v>13.416501303733682</v>
      </c>
    </row>
    <row r="35" spans="1:25">
      <c r="A35" s="154" t="s">
        <v>119</v>
      </c>
      <c r="D35" s="173"/>
      <c r="E35" s="65">
        <f>E32-E33</f>
        <v>1.267782015724829</v>
      </c>
      <c r="K35" s="153">
        <f>K32-K33</f>
        <v>26.176411585791755</v>
      </c>
      <c r="R35" s="57">
        <f>R32-R33</f>
        <v>45.777755531202786</v>
      </c>
      <c r="S35" s="104">
        <f>S32-S33</f>
        <v>13.323089731299113</v>
      </c>
    </row>
    <row r="36" spans="1:25">
      <c r="A36" s="57" t="s">
        <v>124</v>
      </c>
      <c r="C36" s="153">
        <f>MAX(C12:D25)-C30</f>
        <v>1.4000000000000057</v>
      </c>
      <c r="E36" s="65">
        <f>MAX(E12:J25)-E30</f>
        <v>4.0000000000000036E-2</v>
      </c>
      <c r="K36" s="153">
        <f>MAX(K12:L25)-$K30</f>
        <v>0.97000000000000242</v>
      </c>
    </row>
    <row r="37" spans="1:25">
      <c r="A37" s="57" t="s">
        <v>125</v>
      </c>
      <c r="C37" s="153">
        <f>MIN(C12:D25)-C30</f>
        <v>1.4000000000000057</v>
      </c>
      <c r="E37" s="65">
        <f>MIN(E12:J25)-E30</f>
        <v>-2.0000000000000018E-2</v>
      </c>
      <c r="K37" s="153">
        <f>MIN(K12:L25)-K30</f>
        <v>0.74000000000000199</v>
      </c>
    </row>
    <row r="38" spans="1:25" ht="15.75" thickBot="1"/>
    <row r="39" spans="1:25">
      <c r="A39" s="57" t="s">
        <v>146</v>
      </c>
      <c r="C39" s="40" t="s">
        <v>147</v>
      </c>
      <c r="D39" s="40" t="s">
        <v>149</v>
      </c>
    </row>
    <row r="40" spans="1:25">
      <c r="A40" s="57">
        <v>1.24</v>
      </c>
      <c r="C40" s="123">
        <v>1.24</v>
      </c>
      <c r="D40" s="124">
        <v>0</v>
      </c>
    </row>
    <row r="41" spans="1:25">
      <c r="A41" s="57">
        <f>A40+0.01</f>
        <v>1.25</v>
      </c>
      <c r="C41" s="123">
        <v>1.25</v>
      </c>
      <c r="D41" s="124">
        <v>3</v>
      </c>
    </row>
    <row r="42" spans="1:25">
      <c r="A42" s="57">
        <f t="shared" ref="A42:A54" si="3">A41+0.01</f>
        <v>1.26</v>
      </c>
      <c r="C42" s="123">
        <v>1.26</v>
      </c>
      <c r="D42" s="124">
        <v>5</v>
      </c>
    </row>
    <row r="43" spans="1:25">
      <c r="A43" s="57">
        <f t="shared" si="3"/>
        <v>1.27</v>
      </c>
      <c r="C43" s="123">
        <v>1.27</v>
      </c>
      <c r="D43" s="124">
        <v>11</v>
      </c>
    </row>
    <row r="44" spans="1:25">
      <c r="A44" s="57">
        <f t="shared" si="3"/>
        <v>1.28</v>
      </c>
      <c r="C44" s="123">
        <v>1.28</v>
      </c>
      <c r="D44" s="124">
        <v>17</v>
      </c>
    </row>
    <row r="45" spans="1:25">
      <c r="A45" s="57">
        <f t="shared" si="3"/>
        <v>1.29</v>
      </c>
      <c r="C45" s="123">
        <v>1.29</v>
      </c>
      <c r="D45" s="124">
        <v>9</v>
      </c>
    </row>
    <row r="46" spans="1:25">
      <c r="A46" s="57">
        <f t="shared" si="3"/>
        <v>1.3</v>
      </c>
      <c r="C46" s="123">
        <v>1.3</v>
      </c>
      <c r="D46" s="124">
        <v>11</v>
      </c>
    </row>
    <row r="47" spans="1:25">
      <c r="A47" s="57">
        <f t="shared" si="3"/>
        <v>1.31</v>
      </c>
      <c r="C47" s="123">
        <v>1.31</v>
      </c>
      <c r="D47" s="124">
        <v>2</v>
      </c>
    </row>
    <row r="48" spans="1:25">
      <c r="A48" s="57">
        <f t="shared" si="3"/>
        <v>1.32</v>
      </c>
      <c r="C48" s="123">
        <v>1.32</v>
      </c>
      <c r="D48" s="124">
        <v>0</v>
      </c>
    </row>
    <row r="49" spans="1:4">
      <c r="A49" s="57">
        <f t="shared" si="3"/>
        <v>1.33</v>
      </c>
      <c r="C49" s="123">
        <v>1.33</v>
      </c>
      <c r="D49" s="124">
        <v>0</v>
      </c>
    </row>
    <row r="50" spans="1:4">
      <c r="A50" s="57">
        <f>A49+0.01</f>
        <v>1.34</v>
      </c>
      <c r="C50" s="123">
        <v>1.34</v>
      </c>
      <c r="D50" s="124">
        <v>0</v>
      </c>
    </row>
    <row r="51" spans="1:4">
      <c r="A51" s="57">
        <f t="shared" si="3"/>
        <v>1.35</v>
      </c>
      <c r="C51" s="123">
        <v>1.35</v>
      </c>
      <c r="D51" s="124">
        <v>0</v>
      </c>
    </row>
    <row r="52" spans="1:4">
      <c r="A52" s="57">
        <f t="shared" si="3"/>
        <v>1.36</v>
      </c>
      <c r="C52" s="123">
        <v>1.36</v>
      </c>
      <c r="D52" s="124">
        <v>0</v>
      </c>
    </row>
    <row r="53" spans="1:4">
      <c r="A53" s="57">
        <f t="shared" si="3"/>
        <v>1.37</v>
      </c>
      <c r="C53" s="123">
        <v>1.37</v>
      </c>
      <c r="D53" s="124">
        <v>0</v>
      </c>
    </row>
    <row r="54" spans="1:4">
      <c r="A54" s="57">
        <f t="shared" si="3"/>
        <v>1.3800000000000001</v>
      </c>
      <c r="C54" s="123">
        <v>1.3800000000000001</v>
      </c>
      <c r="D54" s="124">
        <v>0</v>
      </c>
    </row>
    <row r="55" spans="1:4">
      <c r="A55" s="57">
        <f>A54+0.01</f>
        <v>1.3900000000000001</v>
      </c>
      <c r="C55" s="123">
        <v>1.3900000000000001</v>
      </c>
      <c r="D55" s="124">
        <v>0</v>
      </c>
    </row>
    <row r="56" spans="1:4" ht="15.75" thickBot="1">
      <c r="C56" s="125" t="s">
        <v>148</v>
      </c>
      <c r="D56" s="125">
        <v>0</v>
      </c>
    </row>
  </sheetData>
  <sortState ref="C40:C55">
    <sortCondition ref="C40"/>
  </sortState>
  <mergeCells count="4">
    <mergeCell ref="C9:D9"/>
    <mergeCell ref="E9:I9"/>
    <mergeCell ref="K9:L9"/>
    <mergeCell ref="M9:P9"/>
  </mergeCells>
  <pageMargins left="0.25" right="0.25" top="0.25" bottom="0.25" header="0.3" footer="0.3"/>
  <pageSetup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B56"/>
  <sheetViews>
    <sheetView topLeftCell="A6" zoomScale="70" zoomScaleNormal="70" workbookViewId="0">
      <selection activeCell="AB9" sqref="AB9"/>
    </sheetView>
  </sheetViews>
  <sheetFormatPr defaultRowHeight="15"/>
  <cols>
    <col min="1" max="1" width="6.28515625" style="57" customWidth="1"/>
    <col min="2" max="2" width="16.140625" style="57" customWidth="1"/>
    <col min="3" max="4" width="5.140625" style="57" customWidth="1"/>
    <col min="5" max="9" width="6.85546875" style="57" customWidth="1"/>
    <col min="10" max="10" width="6.85546875" style="57" bestFit="1" customWidth="1"/>
    <col min="11" max="12" width="6.85546875" style="57" customWidth="1"/>
    <col min="13" max="16" width="3.7109375" style="57" customWidth="1"/>
    <col min="17" max="17" width="6.28515625" style="57" customWidth="1"/>
    <col min="18" max="18" width="7" style="57" customWidth="1"/>
    <col min="19" max="19" width="6.140625" style="57" customWidth="1"/>
    <col min="20" max="20" width="9.85546875" style="57" customWidth="1"/>
    <col min="21" max="16384" width="9.140625" style="57"/>
  </cols>
  <sheetData>
    <row r="1" spans="1:28">
      <c r="A1" s="57" t="s">
        <v>0</v>
      </c>
      <c r="B1" s="52"/>
    </row>
    <row r="2" spans="1:28">
      <c r="A2" s="57" t="s">
        <v>1</v>
      </c>
      <c r="B2" s="52"/>
    </row>
    <row r="3" spans="1:28">
      <c r="A3" s="57" t="s">
        <v>58</v>
      </c>
      <c r="B3" s="52"/>
    </row>
    <row r="4" spans="1:28">
      <c r="B4" s="52"/>
    </row>
    <row r="5" spans="1:28">
      <c r="B5" s="57" t="s">
        <v>112</v>
      </c>
      <c r="C5" s="57" t="s">
        <v>113</v>
      </c>
    </row>
    <row r="6" spans="1:28">
      <c r="A6" s="57" t="s">
        <v>84</v>
      </c>
      <c r="B6" s="52">
        <v>0.06</v>
      </c>
      <c r="C6" s="52">
        <f>B6*25.4</f>
        <v>1.5239999999999998</v>
      </c>
      <c r="D6" s="52"/>
      <c r="E6" s="70"/>
      <c r="F6" s="70"/>
      <c r="G6" s="70"/>
      <c r="H6" s="70"/>
      <c r="I6" s="70"/>
      <c r="J6" s="70"/>
      <c r="K6" s="52"/>
      <c r="L6" s="52"/>
      <c r="M6" s="52"/>
      <c r="N6" s="52"/>
      <c r="O6" s="52"/>
      <c r="P6" s="52"/>
      <c r="Q6" s="52"/>
      <c r="R6" s="127"/>
      <c r="S6" s="127"/>
      <c r="T6" s="127"/>
    </row>
    <row r="7" spans="1:28">
      <c r="B7" s="52"/>
      <c r="C7" s="52"/>
      <c r="D7" s="52"/>
      <c r="E7" s="70"/>
      <c r="F7" s="70"/>
      <c r="G7" s="70"/>
      <c r="H7" s="70"/>
      <c r="I7" s="70"/>
      <c r="J7" s="70"/>
      <c r="K7" s="52"/>
      <c r="L7" s="52"/>
      <c r="M7" s="52"/>
      <c r="N7" s="52"/>
      <c r="O7" s="52"/>
      <c r="P7" s="52"/>
      <c r="Q7" s="52"/>
      <c r="R7" s="127"/>
      <c r="S7" s="127"/>
      <c r="T7" s="127"/>
    </row>
    <row r="8" spans="1:28">
      <c r="A8" s="3" t="s">
        <v>121</v>
      </c>
      <c r="B8" s="52"/>
      <c r="C8" s="52"/>
      <c r="D8" s="52"/>
      <c r="E8" s="70"/>
      <c r="F8" s="70"/>
      <c r="G8" s="70"/>
      <c r="H8" s="70"/>
      <c r="I8" s="70"/>
      <c r="J8" s="70"/>
      <c r="K8" s="52"/>
      <c r="L8" s="52"/>
      <c r="M8" s="52"/>
      <c r="N8" s="52"/>
      <c r="O8" s="52"/>
      <c r="P8" s="52"/>
      <c r="Q8" s="52"/>
      <c r="R8" s="127"/>
      <c r="S8" s="127"/>
      <c r="T8" s="127"/>
      <c r="V8" s="100" t="s">
        <v>157</v>
      </c>
      <c r="Y8" s="100"/>
    </row>
    <row r="9" spans="1:28" ht="45">
      <c r="A9" s="111" t="s">
        <v>216</v>
      </c>
      <c r="B9" s="128" t="s">
        <v>60</v>
      </c>
      <c r="C9" s="767" t="s">
        <v>61</v>
      </c>
      <c r="D9" s="768"/>
      <c r="E9" s="766" t="s">
        <v>62</v>
      </c>
      <c r="F9" s="766"/>
      <c r="G9" s="766"/>
      <c r="H9" s="766"/>
      <c r="I9" s="766"/>
      <c r="J9" s="129"/>
      <c r="K9" s="767" t="s">
        <v>63</v>
      </c>
      <c r="L9" s="768"/>
      <c r="M9" s="767" t="s">
        <v>64</v>
      </c>
      <c r="N9" s="765"/>
      <c r="O9" s="765"/>
      <c r="P9" s="765"/>
      <c r="Q9" s="130" t="s">
        <v>91</v>
      </c>
      <c r="R9" s="39" t="s">
        <v>220</v>
      </c>
      <c r="S9" s="228" t="s">
        <v>221</v>
      </c>
      <c r="T9" s="152" t="s">
        <v>101</v>
      </c>
      <c r="V9" s="152" t="s">
        <v>216</v>
      </c>
      <c r="W9" s="46" t="s">
        <v>631</v>
      </c>
      <c r="X9" s="133" t="s">
        <v>123</v>
      </c>
      <c r="Y9" s="134" t="s">
        <v>155</v>
      </c>
      <c r="Z9" s="152" t="s">
        <v>196</v>
      </c>
      <c r="AA9" s="252" t="s">
        <v>223</v>
      </c>
      <c r="AB9" s="252" t="s">
        <v>640</v>
      </c>
    </row>
    <row r="10" spans="1:28" s="121" customFormat="1">
      <c r="A10" s="97"/>
      <c r="B10" s="255"/>
      <c r="C10" s="256">
        <v>1</v>
      </c>
      <c r="D10" s="255">
        <v>2</v>
      </c>
      <c r="E10" s="256">
        <v>1</v>
      </c>
      <c r="F10" s="199">
        <v>2</v>
      </c>
      <c r="G10" s="199">
        <v>3</v>
      </c>
      <c r="H10" s="199">
        <v>4</v>
      </c>
      <c r="I10" s="199">
        <v>5</v>
      </c>
      <c r="J10" s="255">
        <v>6</v>
      </c>
      <c r="K10" s="256">
        <v>1</v>
      </c>
      <c r="L10" s="255">
        <v>2</v>
      </c>
      <c r="M10" s="256">
        <v>1</v>
      </c>
      <c r="N10" s="199">
        <v>2</v>
      </c>
      <c r="O10" s="199">
        <v>3</v>
      </c>
      <c r="P10" s="199">
        <v>4</v>
      </c>
      <c r="Q10" s="255"/>
      <c r="R10" s="262"/>
      <c r="S10" s="263"/>
      <c r="T10" s="143"/>
      <c r="V10" s="143"/>
      <c r="W10" s="143"/>
      <c r="X10" s="138"/>
      <c r="Y10" s="138"/>
      <c r="Z10" s="138"/>
      <c r="AA10" s="138"/>
    </row>
    <row r="11" spans="1:28">
      <c r="A11" s="66"/>
      <c r="B11" s="159"/>
      <c r="C11" s="60"/>
      <c r="D11" s="159"/>
      <c r="E11" s="233"/>
      <c r="F11" s="71"/>
      <c r="G11" s="71"/>
      <c r="H11" s="71"/>
      <c r="I11" s="71"/>
      <c r="J11" s="234"/>
      <c r="K11" s="60"/>
      <c r="L11" s="159"/>
      <c r="M11" s="60"/>
      <c r="N11" s="61"/>
      <c r="O11" s="61"/>
      <c r="P11" s="61"/>
      <c r="Q11" s="159"/>
      <c r="R11" s="145"/>
      <c r="S11" s="141"/>
      <c r="T11" s="143"/>
      <c r="V11" s="143"/>
      <c r="W11" s="143"/>
      <c r="X11" s="142"/>
      <c r="Y11" s="143"/>
      <c r="Z11" s="143"/>
      <c r="AA11" s="143"/>
    </row>
    <row r="12" spans="1:28">
      <c r="A12" s="66">
        <v>1</v>
      </c>
      <c r="B12" s="159"/>
      <c r="C12" s="257">
        <v>204</v>
      </c>
      <c r="D12" s="54">
        <v>204</v>
      </c>
      <c r="E12" s="235">
        <v>1.53</v>
      </c>
      <c r="F12" s="107">
        <v>1.53</v>
      </c>
      <c r="G12" s="107">
        <v>1.53</v>
      </c>
      <c r="H12" s="107">
        <v>1.53</v>
      </c>
      <c r="I12" s="107">
        <v>1.54</v>
      </c>
      <c r="J12" s="260">
        <v>1.54</v>
      </c>
      <c r="K12" s="72">
        <v>26.14</v>
      </c>
      <c r="L12" s="73">
        <v>26.15</v>
      </c>
      <c r="M12" s="287"/>
      <c r="N12" s="190"/>
      <c r="O12" s="190"/>
      <c r="P12" s="191"/>
      <c r="Q12" s="286" t="s">
        <v>94</v>
      </c>
      <c r="R12" s="145">
        <v>108.2</v>
      </c>
      <c r="S12" s="64">
        <f t="shared" ref="S12:S27" si="0">R12/(AVERAGE(C12:D12)*AVERAGE(E12:J12)*AVERAGE(K12:L12)*0.001)</f>
        <v>13.230366356425582</v>
      </c>
      <c r="T12" s="143">
        <v>3</v>
      </c>
      <c r="V12" s="143">
        <v>1</v>
      </c>
      <c r="W12" s="249">
        <f>MAX(E12:J12)-MIN(E12:J12)</f>
        <v>1.0000000000000009E-2</v>
      </c>
      <c r="X12" s="143">
        <f t="shared" ref="X12:X27" si="1">IF(OR(ABS(E12-$C$6)&gt;($C$6*0.1),ABS(F12-$C$6)&gt;($C$6*0.1),ABS(G12-$C$6)&gt;($C$6*0.1),ABS(H12-$C$6)&gt;($C$6*0.1),ABS(I12-$C$6)&gt;($C$6*0.1),ABS(J12-$C$6)&gt;($C$6*0.1)),1,0)</f>
        <v>0</v>
      </c>
      <c r="Y12" s="143">
        <f>IF(OR(K12&gt;Cuts!$B$16, L12&gt;Cuts!B$16), 1,0)</f>
        <v>0</v>
      </c>
      <c r="Z12" s="246">
        <f>IF(OR(C12&gt;Cuts!$C$16, D12&gt;Cuts!$C$16),1,0)</f>
        <v>0</v>
      </c>
      <c r="AA12" s="143">
        <f>IF(OR(M12="Y",N12="Y",O12="Y",P12="Y"),1,0)</f>
        <v>0</v>
      </c>
    </row>
    <row r="13" spans="1:28">
      <c r="A13" s="66">
        <f>A12+1</f>
        <v>2</v>
      </c>
      <c r="B13" s="159"/>
      <c r="C13" s="257">
        <v>204</v>
      </c>
      <c r="D13" s="54">
        <v>204</v>
      </c>
      <c r="E13" s="233">
        <v>1.55</v>
      </c>
      <c r="F13" s="71">
        <v>1.55</v>
      </c>
      <c r="G13" s="71">
        <v>1.56</v>
      </c>
      <c r="H13" s="71">
        <v>1.56</v>
      </c>
      <c r="I13" s="71">
        <v>1.57</v>
      </c>
      <c r="J13" s="234">
        <v>1.56</v>
      </c>
      <c r="K13" s="72">
        <v>26.34</v>
      </c>
      <c r="L13" s="73">
        <v>26.21</v>
      </c>
      <c r="M13" s="287"/>
      <c r="N13" s="190"/>
      <c r="O13" s="190" t="s">
        <v>89</v>
      </c>
      <c r="P13" s="191"/>
      <c r="Q13" s="286" t="s">
        <v>94</v>
      </c>
      <c r="R13" s="145">
        <v>110.5</v>
      </c>
      <c r="S13" s="64">
        <f t="shared" si="0"/>
        <v>13.229061194584226</v>
      </c>
      <c r="T13" s="143">
        <v>3</v>
      </c>
      <c r="V13" s="143">
        <f>V12+1</f>
        <v>2</v>
      </c>
      <c r="W13" s="249">
        <f t="shared" ref="W13:W27" si="2">MAX(E13:J13)-MIN(E13:J13)</f>
        <v>2.0000000000000018E-2</v>
      </c>
      <c r="X13" s="143">
        <f t="shared" si="1"/>
        <v>0</v>
      </c>
      <c r="Y13" s="143">
        <f>IF(OR(K13&gt;Cuts!$B$16, L13&gt;Cuts!B$16), 1,0)</f>
        <v>0</v>
      </c>
      <c r="Z13" s="246">
        <f>IF(OR(C13&gt;Cuts!$C$16, D13&gt;Cuts!$C$16),1,0)</f>
        <v>0</v>
      </c>
      <c r="AA13" s="143">
        <f t="shared" ref="AA13:AA27" si="3">IF(OR(M13="Y",N13="Y",O13="Y",P13="Y"),1,0)</f>
        <v>0</v>
      </c>
    </row>
    <row r="14" spans="1:28">
      <c r="A14" s="66">
        <f t="shared" ref="A14:A27" si="4">A13+1</f>
        <v>3</v>
      </c>
      <c r="B14" s="159"/>
      <c r="C14" s="257">
        <v>204</v>
      </c>
      <c r="D14" s="54">
        <v>204</v>
      </c>
      <c r="E14" s="233">
        <v>1.57</v>
      </c>
      <c r="F14" s="71">
        <v>1.56</v>
      </c>
      <c r="G14" s="71">
        <v>1.55</v>
      </c>
      <c r="H14" s="71">
        <v>1.56</v>
      </c>
      <c r="I14" s="71">
        <v>1.55</v>
      </c>
      <c r="J14" s="234">
        <v>1.56</v>
      </c>
      <c r="K14" s="72">
        <v>26.42</v>
      </c>
      <c r="L14" s="73">
        <v>26.15</v>
      </c>
      <c r="M14" s="287"/>
      <c r="N14" s="190"/>
      <c r="O14" s="190"/>
      <c r="P14" s="191"/>
      <c r="Q14" s="288"/>
      <c r="R14" s="145">
        <v>110.6</v>
      </c>
      <c r="S14" s="64">
        <f t="shared" si="0"/>
        <v>13.235995709191771</v>
      </c>
      <c r="T14" s="143">
        <v>3</v>
      </c>
      <c r="V14" s="143">
        <f t="shared" ref="V14:V27" si="5">V13+1</f>
        <v>3</v>
      </c>
      <c r="W14" s="249">
        <f t="shared" si="2"/>
        <v>2.0000000000000018E-2</v>
      </c>
      <c r="X14" s="143">
        <f t="shared" si="1"/>
        <v>0</v>
      </c>
      <c r="Y14" s="143">
        <f>IF(OR(K14&gt;Cuts!$B$16, L14&gt;Cuts!B$16), 1,0)</f>
        <v>0</v>
      </c>
      <c r="Z14" s="246">
        <f>IF(OR(C14&gt;Cuts!$C$16, D14&gt;Cuts!$C$16),1,0)</f>
        <v>0</v>
      </c>
      <c r="AA14" s="143">
        <f t="shared" si="3"/>
        <v>0</v>
      </c>
    </row>
    <row r="15" spans="1:28">
      <c r="A15" s="171">
        <f t="shared" si="4"/>
        <v>4</v>
      </c>
      <c r="B15" s="159"/>
      <c r="C15" s="257">
        <v>204</v>
      </c>
      <c r="D15" s="54">
        <v>204</v>
      </c>
      <c r="E15" s="233">
        <v>1.54</v>
      </c>
      <c r="F15" s="71">
        <v>1.52</v>
      </c>
      <c r="G15" s="71">
        <v>1.56</v>
      </c>
      <c r="H15" s="71">
        <v>1.54</v>
      </c>
      <c r="I15" s="71">
        <v>1.57</v>
      </c>
      <c r="J15" s="234">
        <v>1.55</v>
      </c>
      <c r="K15" s="72">
        <v>26.07</v>
      </c>
      <c r="L15" s="73">
        <v>26.44</v>
      </c>
      <c r="M15" s="287" t="s">
        <v>89</v>
      </c>
      <c r="N15" s="190"/>
      <c r="O15" s="190"/>
      <c r="P15" s="191"/>
      <c r="Q15" s="286" t="s">
        <v>93</v>
      </c>
      <c r="R15" s="145">
        <v>110.3</v>
      </c>
      <c r="S15" s="64">
        <f t="shared" si="0"/>
        <v>13.31485976012296</v>
      </c>
      <c r="T15" s="143">
        <v>3</v>
      </c>
      <c r="V15" s="265">
        <f t="shared" si="5"/>
        <v>4</v>
      </c>
      <c r="W15" s="249">
        <f t="shared" si="2"/>
        <v>5.0000000000000044E-2</v>
      </c>
      <c r="X15" s="143">
        <f t="shared" si="1"/>
        <v>0</v>
      </c>
      <c r="Y15" s="143">
        <f>IF(OR(K15&gt;Cuts!$B$16, L15&gt;Cuts!B$16), 1,0)</f>
        <v>0</v>
      </c>
      <c r="Z15" s="246">
        <f>IF(OR(C15&gt;Cuts!$C$16, D15&gt;Cuts!$C$16),1,0)</f>
        <v>0</v>
      </c>
      <c r="AA15" s="143">
        <f t="shared" si="3"/>
        <v>0</v>
      </c>
    </row>
    <row r="16" spans="1:28">
      <c r="A16" s="66">
        <f t="shared" si="4"/>
        <v>5</v>
      </c>
      <c r="B16" s="159"/>
      <c r="C16" s="257">
        <v>204</v>
      </c>
      <c r="D16" s="54">
        <v>204</v>
      </c>
      <c r="E16" s="233">
        <v>1.54</v>
      </c>
      <c r="F16" s="71">
        <v>1.53</v>
      </c>
      <c r="G16" s="71">
        <v>1.54</v>
      </c>
      <c r="H16" s="71">
        <v>1.54</v>
      </c>
      <c r="I16" s="71">
        <v>1.54</v>
      </c>
      <c r="J16" s="234">
        <v>1.54</v>
      </c>
      <c r="K16" s="72">
        <v>26.41</v>
      </c>
      <c r="L16" s="73">
        <v>26.2</v>
      </c>
      <c r="M16" s="287"/>
      <c r="N16" s="190"/>
      <c r="O16" s="190"/>
      <c r="P16" s="191"/>
      <c r="Q16" s="286" t="s">
        <v>93</v>
      </c>
      <c r="R16" s="145">
        <v>109.6</v>
      </c>
      <c r="S16" s="64">
        <f t="shared" si="0"/>
        <v>13.276745485915621</v>
      </c>
      <c r="T16" s="143">
        <v>3</v>
      </c>
      <c r="V16" s="143">
        <f t="shared" si="5"/>
        <v>5</v>
      </c>
      <c r="W16" s="249">
        <f t="shared" si="2"/>
        <v>1.0000000000000009E-2</v>
      </c>
      <c r="X16" s="143">
        <f t="shared" si="1"/>
        <v>0</v>
      </c>
      <c r="Y16" s="143">
        <f>IF(OR(K16&gt;Cuts!$B$16, L16&gt;Cuts!B$16), 1,0)</f>
        <v>0</v>
      </c>
      <c r="Z16" s="246">
        <f>IF(OR(C16&gt;Cuts!$C$16, D16&gt;Cuts!$C$16),1,0)</f>
        <v>0</v>
      </c>
      <c r="AA16" s="143">
        <f t="shared" si="3"/>
        <v>0</v>
      </c>
    </row>
    <row r="17" spans="1:28">
      <c r="A17" s="66">
        <f t="shared" si="4"/>
        <v>6</v>
      </c>
      <c r="B17" s="159"/>
      <c r="C17" s="257">
        <v>204</v>
      </c>
      <c r="D17" s="54">
        <v>204</v>
      </c>
      <c r="E17" s="233">
        <v>1.51</v>
      </c>
      <c r="F17" s="71">
        <v>1.52</v>
      </c>
      <c r="G17" s="71">
        <v>1.52</v>
      </c>
      <c r="H17" s="71">
        <v>1.52</v>
      </c>
      <c r="I17" s="71">
        <v>1.51</v>
      </c>
      <c r="J17" s="234">
        <v>1.51</v>
      </c>
      <c r="K17" s="72">
        <v>26.34</v>
      </c>
      <c r="L17" s="73">
        <v>26.17</v>
      </c>
      <c r="M17" s="287"/>
      <c r="N17" s="190"/>
      <c r="O17" s="190"/>
      <c r="P17" s="191"/>
      <c r="Q17" s="286" t="s">
        <v>93</v>
      </c>
      <c r="R17" s="145">
        <v>108</v>
      </c>
      <c r="S17" s="64">
        <f t="shared" si="0"/>
        <v>13.309720410467339</v>
      </c>
      <c r="T17" s="143">
        <v>3</v>
      </c>
      <c r="V17" s="143">
        <f t="shared" si="5"/>
        <v>6</v>
      </c>
      <c r="W17" s="249">
        <f t="shared" si="2"/>
        <v>1.0000000000000009E-2</v>
      </c>
      <c r="X17" s="143">
        <f t="shared" si="1"/>
        <v>0</v>
      </c>
      <c r="Y17" s="143">
        <f>IF(OR(K17&gt;Cuts!$B$16, L17&gt;Cuts!B$16), 1,0)</f>
        <v>0</v>
      </c>
      <c r="Z17" s="246">
        <f>IF(OR(C17&gt;Cuts!$C$16, D17&gt;Cuts!$C$16),1,0)</f>
        <v>0</v>
      </c>
      <c r="AA17" s="143">
        <f t="shared" si="3"/>
        <v>0</v>
      </c>
    </row>
    <row r="18" spans="1:28">
      <c r="A18" s="66">
        <f t="shared" si="4"/>
        <v>7</v>
      </c>
      <c r="B18" s="159"/>
      <c r="C18" s="257">
        <v>204</v>
      </c>
      <c r="D18" s="54">
        <v>204</v>
      </c>
      <c r="E18" s="233">
        <v>1.55</v>
      </c>
      <c r="F18" s="71">
        <v>1.55</v>
      </c>
      <c r="G18" s="71">
        <v>1.55</v>
      </c>
      <c r="H18" s="71">
        <v>1.55</v>
      </c>
      <c r="I18" s="71">
        <v>1.56</v>
      </c>
      <c r="J18" s="234">
        <v>1.56</v>
      </c>
      <c r="K18" s="72">
        <v>26.18</v>
      </c>
      <c r="L18" s="73">
        <v>26.19</v>
      </c>
      <c r="M18" s="287"/>
      <c r="N18" s="190"/>
      <c r="O18" s="190"/>
      <c r="P18" s="191"/>
      <c r="Q18" s="286" t="s">
        <v>93</v>
      </c>
      <c r="R18" s="145">
        <v>109.9</v>
      </c>
      <c r="S18" s="64">
        <f t="shared" si="0"/>
        <v>13.244948829664748</v>
      </c>
      <c r="T18" s="143">
        <v>3</v>
      </c>
      <c r="V18" s="143">
        <f t="shared" si="5"/>
        <v>7</v>
      </c>
      <c r="W18" s="249">
        <f t="shared" si="2"/>
        <v>1.0000000000000009E-2</v>
      </c>
      <c r="X18" s="143">
        <f t="shared" si="1"/>
        <v>0</v>
      </c>
      <c r="Y18" s="143">
        <f>IF(OR(K18&gt;Cuts!$B$16, L18&gt;Cuts!B$16), 1,0)</f>
        <v>0</v>
      </c>
      <c r="Z18" s="246">
        <f>IF(OR(C18&gt;Cuts!$C$16, D18&gt;Cuts!$C$16),1,0)</f>
        <v>0</v>
      </c>
      <c r="AA18" s="143">
        <f t="shared" si="3"/>
        <v>0</v>
      </c>
    </row>
    <row r="19" spans="1:28">
      <c r="A19" s="66">
        <f t="shared" si="4"/>
        <v>8</v>
      </c>
      <c r="B19" s="159"/>
      <c r="C19" s="257">
        <v>204</v>
      </c>
      <c r="D19" s="54">
        <v>204</v>
      </c>
      <c r="E19" s="233">
        <v>1.52</v>
      </c>
      <c r="F19" s="71">
        <v>1.53</v>
      </c>
      <c r="G19" s="71">
        <v>1.53</v>
      </c>
      <c r="H19" s="71">
        <v>1.54</v>
      </c>
      <c r="I19" s="71">
        <v>1.55</v>
      </c>
      <c r="J19" s="234">
        <v>1.55</v>
      </c>
      <c r="K19" s="72">
        <v>26.35</v>
      </c>
      <c r="L19" s="73">
        <v>26.12</v>
      </c>
      <c r="M19" s="287"/>
      <c r="N19" s="190"/>
      <c r="O19" s="190"/>
      <c r="P19" s="191"/>
      <c r="Q19" s="286" t="s">
        <v>93</v>
      </c>
      <c r="R19" s="145">
        <v>109.1</v>
      </c>
      <c r="S19" s="64">
        <f t="shared" si="0"/>
        <v>13.265812173268577</v>
      </c>
      <c r="T19" s="143">
        <v>3</v>
      </c>
      <c r="V19" s="143">
        <f t="shared" si="5"/>
        <v>8</v>
      </c>
      <c r="W19" s="249">
        <f t="shared" si="2"/>
        <v>3.0000000000000027E-2</v>
      </c>
      <c r="X19" s="143">
        <f t="shared" si="1"/>
        <v>0</v>
      </c>
      <c r="Y19" s="143">
        <f>IF(OR(K19&gt;Cuts!$B$16, L19&gt;Cuts!B$16), 1,0)</f>
        <v>0</v>
      </c>
      <c r="Z19" s="246">
        <f>IF(OR(C19&gt;Cuts!$C$16, D19&gt;Cuts!$C$16),1,0)</f>
        <v>0</v>
      </c>
      <c r="AA19" s="143">
        <f t="shared" si="3"/>
        <v>0</v>
      </c>
    </row>
    <row r="20" spans="1:28">
      <c r="A20" s="66">
        <f t="shared" si="4"/>
        <v>9</v>
      </c>
      <c r="B20" s="159"/>
      <c r="C20" s="257">
        <v>204</v>
      </c>
      <c r="D20" s="54">
        <v>204</v>
      </c>
      <c r="E20" s="235">
        <v>1.54</v>
      </c>
      <c r="F20" s="107">
        <v>1.55</v>
      </c>
      <c r="G20" s="107">
        <v>1.55</v>
      </c>
      <c r="H20" s="107">
        <v>1.56</v>
      </c>
      <c r="I20" s="107">
        <v>1.55</v>
      </c>
      <c r="J20" s="260">
        <v>1.55</v>
      </c>
      <c r="K20" s="72">
        <v>26.06</v>
      </c>
      <c r="L20" s="73">
        <v>26.21</v>
      </c>
      <c r="M20" s="287"/>
      <c r="N20" s="190"/>
      <c r="O20" s="190"/>
      <c r="P20" s="191"/>
      <c r="Q20" s="288"/>
      <c r="R20" s="145">
        <v>110.3</v>
      </c>
      <c r="S20" s="64">
        <f t="shared" si="0"/>
        <v>13.347229941551719</v>
      </c>
      <c r="T20" s="143">
        <v>3</v>
      </c>
      <c r="V20" s="143">
        <f t="shared" si="5"/>
        <v>9</v>
      </c>
      <c r="W20" s="249">
        <f t="shared" si="2"/>
        <v>2.0000000000000018E-2</v>
      </c>
      <c r="X20" s="143">
        <f t="shared" si="1"/>
        <v>0</v>
      </c>
      <c r="Y20" s="143">
        <f>IF(OR(K20&gt;Cuts!$B$16, L20&gt;Cuts!B$16), 1,0)</f>
        <v>0</v>
      </c>
      <c r="Z20" s="246">
        <f>IF(OR(C20&gt;Cuts!$C$16, D20&gt;Cuts!$C$16),1,0)</f>
        <v>0</v>
      </c>
      <c r="AA20" s="143">
        <f t="shared" si="3"/>
        <v>0</v>
      </c>
    </row>
    <row r="21" spans="1:28">
      <c r="A21" s="66">
        <f t="shared" si="4"/>
        <v>10</v>
      </c>
      <c r="B21" s="159"/>
      <c r="C21" s="257">
        <v>204</v>
      </c>
      <c r="D21" s="54">
        <v>204</v>
      </c>
      <c r="E21" s="233">
        <v>1.54</v>
      </c>
      <c r="F21" s="71">
        <v>1.55</v>
      </c>
      <c r="G21" s="71">
        <v>1.54</v>
      </c>
      <c r="H21" s="71">
        <v>1.54</v>
      </c>
      <c r="I21" s="71">
        <v>1.54</v>
      </c>
      <c r="J21" s="234">
        <v>1.54</v>
      </c>
      <c r="K21" s="72">
        <v>26.15</v>
      </c>
      <c r="L21" s="73">
        <v>26.58</v>
      </c>
      <c r="M21" s="287"/>
      <c r="N21" s="190"/>
      <c r="O21" s="190"/>
      <c r="P21" s="191"/>
      <c r="Q21" s="286" t="s">
        <v>93</v>
      </c>
      <c r="R21" s="145">
        <v>109.8</v>
      </c>
      <c r="S21" s="64">
        <f t="shared" si="0"/>
        <v>13.24201009612819</v>
      </c>
      <c r="T21" s="143">
        <v>3</v>
      </c>
      <c r="V21" s="143">
        <f t="shared" si="5"/>
        <v>10</v>
      </c>
      <c r="W21" s="249">
        <f t="shared" si="2"/>
        <v>1.0000000000000009E-2</v>
      </c>
      <c r="X21" s="143">
        <f t="shared" si="1"/>
        <v>0</v>
      </c>
      <c r="Y21" s="143">
        <f>IF(OR(K21&gt;Cuts!$B$16, L21&gt;Cuts!B$16), 1,0)</f>
        <v>0</v>
      </c>
      <c r="Z21" s="246">
        <f>IF(OR(C21&gt;Cuts!$C$16, D21&gt;Cuts!$C$16),1,0)</f>
        <v>0</v>
      </c>
      <c r="AA21" s="143">
        <f t="shared" si="3"/>
        <v>0</v>
      </c>
    </row>
    <row r="22" spans="1:28">
      <c r="A22" s="66">
        <f t="shared" si="4"/>
        <v>11</v>
      </c>
      <c r="B22" s="159"/>
      <c r="C22" s="257">
        <v>204</v>
      </c>
      <c r="D22" s="54">
        <v>204</v>
      </c>
      <c r="E22" s="233">
        <v>1.53</v>
      </c>
      <c r="F22" s="71">
        <v>1.53</v>
      </c>
      <c r="G22" s="71">
        <v>1.55</v>
      </c>
      <c r="H22" s="71">
        <v>1.55</v>
      </c>
      <c r="I22" s="71">
        <v>1.55</v>
      </c>
      <c r="J22" s="234">
        <v>1.54</v>
      </c>
      <c r="K22" s="72">
        <v>26.07</v>
      </c>
      <c r="L22" s="73">
        <v>26.37</v>
      </c>
      <c r="M22" s="287"/>
      <c r="N22" s="190"/>
      <c r="O22" s="190"/>
      <c r="P22" s="191"/>
      <c r="Q22" s="288"/>
      <c r="R22" s="145">
        <v>110.1</v>
      </c>
      <c r="S22" s="64">
        <f t="shared" si="0"/>
        <v>13.351620566588933</v>
      </c>
      <c r="T22" s="143">
        <v>3</v>
      </c>
      <c r="V22" s="143">
        <f t="shared" si="5"/>
        <v>11</v>
      </c>
      <c r="W22" s="249">
        <f t="shared" si="2"/>
        <v>2.0000000000000018E-2</v>
      </c>
      <c r="X22" s="143">
        <f t="shared" si="1"/>
        <v>0</v>
      </c>
      <c r="Y22" s="143">
        <f>IF(OR(K22&gt;Cuts!$B$16, L22&gt;Cuts!B$16), 1,0)</f>
        <v>0</v>
      </c>
      <c r="Z22" s="246">
        <f>IF(OR(C22&gt;Cuts!$C$16, D22&gt;Cuts!$C$16),1,0)</f>
        <v>0</v>
      </c>
      <c r="AA22" s="143">
        <f t="shared" si="3"/>
        <v>0</v>
      </c>
    </row>
    <row r="23" spans="1:28" ht="30">
      <c r="A23" s="804">
        <f t="shared" si="4"/>
        <v>12</v>
      </c>
      <c r="B23" s="159"/>
      <c r="C23" s="257">
        <v>204</v>
      </c>
      <c r="D23" s="54">
        <v>204</v>
      </c>
      <c r="E23" s="233">
        <v>1.57</v>
      </c>
      <c r="F23" s="71">
        <v>1.56</v>
      </c>
      <c r="G23" s="71">
        <v>1.57</v>
      </c>
      <c r="H23" s="71">
        <v>1.56</v>
      </c>
      <c r="I23" s="71">
        <v>1.55</v>
      </c>
      <c r="J23" s="234">
        <v>1.54</v>
      </c>
      <c r="K23" s="72">
        <v>26.21</v>
      </c>
      <c r="L23" s="73">
        <v>26.36</v>
      </c>
      <c r="M23" s="287"/>
      <c r="N23" s="190"/>
      <c r="O23" s="190"/>
      <c r="P23" s="191"/>
      <c r="Q23" s="286" t="s">
        <v>96</v>
      </c>
      <c r="R23" s="145">
        <v>110.3</v>
      </c>
      <c r="S23" s="64">
        <f t="shared" si="0"/>
        <v>13.200093370016749</v>
      </c>
      <c r="T23" s="143">
        <v>3</v>
      </c>
      <c r="V23" s="803">
        <f t="shared" si="5"/>
        <v>12</v>
      </c>
      <c r="W23" s="249">
        <f t="shared" si="2"/>
        <v>3.0000000000000027E-2</v>
      </c>
      <c r="X23" s="143">
        <f t="shared" si="1"/>
        <v>0</v>
      </c>
      <c r="Y23" s="143">
        <f>IF(OR(K23&gt;Cuts!$B$16, L23&gt;Cuts!B$16), 1,0)</f>
        <v>0</v>
      </c>
      <c r="Z23" s="246">
        <f>IF(OR(C23&gt;Cuts!$C$16, D23&gt;Cuts!$C$16),1,0)</f>
        <v>0</v>
      </c>
      <c r="AA23" s="143">
        <f t="shared" si="3"/>
        <v>0</v>
      </c>
      <c r="AB23" t="s">
        <v>639</v>
      </c>
    </row>
    <row r="24" spans="1:28">
      <c r="A24" s="66">
        <f t="shared" si="4"/>
        <v>13</v>
      </c>
      <c r="B24" s="159"/>
      <c r="C24" s="257">
        <v>204</v>
      </c>
      <c r="D24" s="54">
        <v>204</v>
      </c>
      <c r="E24" s="233">
        <v>1.54</v>
      </c>
      <c r="F24" s="71">
        <v>1.56</v>
      </c>
      <c r="G24" s="71">
        <v>1.54</v>
      </c>
      <c r="H24" s="71">
        <v>1.56</v>
      </c>
      <c r="I24" s="71">
        <v>1.53</v>
      </c>
      <c r="J24" s="234">
        <v>1.54</v>
      </c>
      <c r="K24" s="72">
        <v>26.16</v>
      </c>
      <c r="L24" s="73">
        <v>26.26</v>
      </c>
      <c r="M24" s="287"/>
      <c r="N24" s="190"/>
      <c r="O24" s="190"/>
      <c r="P24" s="191"/>
      <c r="Q24" s="286" t="s">
        <v>93</v>
      </c>
      <c r="R24" s="145">
        <v>108.8</v>
      </c>
      <c r="S24" s="64">
        <f t="shared" si="0"/>
        <v>13.170529130123594</v>
      </c>
      <c r="T24" s="143">
        <v>3</v>
      </c>
      <c r="V24" s="143">
        <f t="shared" si="5"/>
        <v>13</v>
      </c>
      <c r="W24" s="249">
        <f t="shared" si="2"/>
        <v>3.0000000000000027E-2</v>
      </c>
      <c r="X24" s="143">
        <f t="shared" si="1"/>
        <v>0</v>
      </c>
      <c r="Y24" s="143">
        <f>IF(OR(K24&gt;Cuts!$B$16, L24&gt;Cuts!B$16), 1,0)</f>
        <v>0</v>
      </c>
      <c r="Z24" s="246">
        <f>IF(OR(C24&gt;Cuts!$C$16, D24&gt;Cuts!$C$16),1,0)</f>
        <v>0</v>
      </c>
      <c r="AA24" s="143">
        <f t="shared" si="3"/>
        <v>0</v>
      </c>
    </row>
    <row r="25" spans="1:28">
      <c r="A25" s="66">
        <f t="shared" si="4"/>
        <v>14</v>
      </c>
      <c r="B25" s="159"/>
      <c r="C25" s="257">
        <v>204</v>
      </c>
      <c r="D25" s="54">
        <v>204</v>
      </c>
      <c r="E25" s="233">
        <v>1.53</v>
      </c>
      <c r="F25" s="71">
        <v>1.54</v>
      </c>
      <c r="G25" s="71">
        <v>1.53</v>
      </c>
      <c r="H25" s="71">
        <v>1.54</v>
      </c>
      <c r="I25" s="71">
        <v>1.55</v>
      </c>
      <c r="J25" s="234">
        <v>1.55</v>
      </c>
      <c r="K25" s="72">
        <v>26.02</v>
      </c>
      <c r="L25" s="73">
        <v>26.17</v>
      </c>
      <c r="M25" s="287"/>
      <c r="N25" s="190"/>
      <c r="O25" s="190"/>
      <c r="P25" s="191"/>
      <c r="Q25" s="288"/>
      <c r="R25" s="145">
        <v>108.8</v>
      </c>
      <c r="S25" s="64">
        <f t="shared" si="0"/>
        <v>13.271521223236112</v>
      </c>
      <c r="T25" s="143">
        <v>3</v>
      </c>
      <c r="V25" s="143">
        <f t="shared" si="5"/>
        <v>14</v>
      </c>
      <c r="W25" s="249">
        <f t="shared" si="2"/>
        <v>2.0000000000000018E-2</v>
      </c>
      <c r="X25" s="143">
        <f t="shared" si="1"/>
        <v>0</v>
      </c>
      <c r="Y25" s="143">
        <f>IF(OR(K25&gt;Cuts!$B$16, L25&gt;Cuts!B$16), 1,0)</f>
        <v>0</v>
      </c>
      <c r="Z25" s="246">
        <f>IF(OR(C25&gt;Cuts!$C$16, D25&gt;Cuts!$C$16),1,0)</f>
        <v>0</v>
      </c>
      <c r="AA25" s="143">
        <f t="shared" si="3"/>
        <v>0</v>
      </c>
    </row>
    <row r="26" spans="1:28">
      <c r="A26" s="66">
        <f t="shared" si="4"/>
        <v>15</v>
      </c>
      <c r="B26" s="159"/>
      <c r="C26" s="257">
        <v>204</v>
      </c>
      <c r="D26" s="54">
        <v>204</v>
      </c>
      <c r="E26" s="233">
        <v>1.51</v>
      </c>
      <c r="F26" s="71">
        <v>1.49</v>
      </c>
      <c r="G26" s="71">
        <v>1.53</v>
      </c>
      <c r="H26" s="71">
        <v>1.5</v>
      </c>
      <c r="I26" s="71">
        <v>1.53</v>
      </c>
      <c r="J26" s="234">
        <v>1.51</v>
      </c>
      <c r="K26" s="72">
        <v>26.1</v>
      </c>
      <c r="L26" s="73">
        <v>26.3</v>
      </c>
      <c r="M26" s="287"/>
      <c r="N26" s="190"/>
      <c r="O26" s="190"/>
      <c r="P26" s="191"/>
      <c r="Q26" s="286" t="s">
        <v>93</v>
      </c>
      <c r="R26" s="145">
        <v>106.1</v>
      </c>
      <c r="S26" s="64">
        <f t="shared" si="0"/>
        <v>13.131909723752146</v>
      </c>
      <c r="T26" s="143">
        <v>3</v>
      </c>
      <c r="V26" s="143">
        <f t="shared" si="5"/>
        <v>15</v>
      </c>
      <c r="W26" s="249">
        <f t="shared" si="2"/>
        <v>4.0000000000000036E-2</v>
      </c>
      <c r="X26" s="143">
        <f t="shared" si="1"/>
        <v>0</v>
      </c>
      <c r="Y26" s="143">
        <f>IF(OR(K26&gt;Cuts!$B$16, L26&gt;Cuts!B$16), 1,0)</f>
        <v>0</v>
      </c>
      <c r="Z26" s="246">
        <f>IF(OR(C26&gt;Cuts!$C$16, D26&gt;Cuts!$C$16),1,0)</f>
        <v>0</v>
      </c>
      <c r="AA26" s="143">
        <f t="shared" si="3"/>
        <v>0</v>
      </c>
    </row>
    <row r="27" spans="1:28">
      <c r="A27" s="111">
        <f t="shared" si="4"/>
        <v>16</v>
      </c>
      <c r="B27" s="281"/>
      <c r="C27" s="258">
        <v>204</v>
      </c>
      <c r="D27" s="259">
        <v>204</v>
      </c>
      <c r="E27" s="293">
        <v>1.53</v>
      </c>
      <c r="F27" s="129">
        <v>1.54</v>
      </c>
      <c r="G27" s="129">
        <v>1.54</v>
      </c>
      <c r="H27" s="129">
        <v>1.54</v>
      </c>
      <c r="I27" s="129">
        <v>1.56</v>
      </c>
      <c r="J27" s="254">
        <v>1.56</v>
      </c>
      <c r="K27" s="88">
        <v>26.1</v>
      </c>
      <c r="L27" s="89">
        <v>26.13</v>
      </c>
      <c r="M27" s="294"/>
      <c r="N27" s="295"/>
      <c r="O27" s="295"/>
      <c r="P27" s="194"/>
      <c r="Q27" s="296" t="s">
        <v>93</v>
      </c>
      <c r="R27" s="151">
        <v>109</v>
      </c>
      <c r="S27" s="96">
        <f t="shared" si="0"/>
        <v>13.242738906026084</v>
      </c>
      <c r="T27" s="152">
        <v>3</v>
      </c>
      <c r="V27" s="152">
        <f t="shared" si="5"/>
        <v>16</v>
      </c>
      <c r="W27" s="249">
        <f t="shared" si="2"/>
        <v>3.0000000000000027E-2</v>
      </c>
      <c r="X27" s="152">
        <f t="shared" si="1"/>
        <v>0</v>
      </c>
      <c r="Y27" s="152">
        <f>IF(OR(K27&gt;Cuts!$B$16, L27&gt;Cuts!B$16), 1,0)</f>
        <v>0</v>
      </c>
      <c r="Z27" s="248">
        <f>IF(OR(C27&gt;Cuts!$C$16, D27&gt;Cuts!$C$16),1,0)</f>
        <v>0</v>
      </c>
      <c r="AA27" s="152">
        <f t="shared" si="3"/>
        <v>0</v>
      </c>
    </row>
    <row r="28" spans="1:28" s="97" customFormat="1">
      <c r="E28" s="195"/>
      <c r="F28" s="195"/>
      <c r="G28" s="195"/>
      <c r="H28" s="195"/>
      <c r="I28" s="195"/>
      <c r="J28" s="195"/>
      <c r="R28" s="196"/>
      <c r="S28" s="196"/>
      <c r="T28" s="196"/>
      <c r="Y28" s="97">
        <f>SUM(Y12:Y27)</f>
        <v>0</v>
      </c>
      <c r="Z28" s="97">
        <f>SUM(Z12:Z27)</f>
        <v>0</v>
      </c>
      <c r="AA28" s="97">
        <f>SUM(AA12:AA27)</f>
        <v>0</v>
      </c>
    </row>
    <row r="29" spans="1:28">
      <c r="A29" s="66"/>
      <c r="E29" s="65"/>
      <c r="F29" s="65"/>
      <c r="G29" s="65"/>
      <c r="H29" s="65"/>
      <c r="I29" s="65"/>
      <c r="J29" s="65"/>
      <c r="R29" s="104"/>
      <c r="S29" s="104"/>
      <c r="T29" s="104"/>
    </row>
    <row r="30" spans="1:28">
      <c r="A30" s="66" t="s">
        <v>114</v>
      </c>
      <c r="C30" s="57" t="s">
        <v>132</v>
      </c>
      <c r="E30" s="57" t="s">
        <v>133</v>
      </c>
      <c r="K30" s="57" t="s">
        <v>130</v>
      </c>
      <c r="R30" s="57" t="s">
        <v>134</v>
      </c>
      <c r="S30" s="57" t="s">
        <v>135</v>
      </c>
    </row>
    <row r="31" spans="1:28">
      <c r="A31" s="66"/>
    </row>
    <row r="32" spans="1:28">
      <c r="A32" s="57" t="s">
        <v>116</v>
      </c>
      <c r="C32" s="57">
        <f>8*25.4</f>
        <v>203.2</v>
      </c>
      <c r="E32" s="57">
        <f>C6</f>
        <v>1.5239999999999998</v>
      </c>
      <c r="K32" s="102">
        <v>25.4</v>
      </c>
    </row>
    <row r="33" spans="1:20">
      <c r="A33" s="57" t="s">
        <v>111</v>
      </c>
      <c r="C33" s="57">
        <f>MODE(C12:D27)</f>
        <v>204</v>
      </c>
      <c r="E33" s="57">
        <f>MODE(E12:J27)</f>
        <v>1.54</v>
      </c>
      <c r="K33" s="57">
        <f>MODE(K12:L27)</f>
        <v>26.15</v>
      </c>
      <c r="R33" s="57">
        <f>MODE(R12:R27)</f>
        <v>110.3</v>
      </c>
      <c r="S33" s="57" t="e">
        <f>MODE(S12:S27)</f>
        <v>#N/A</v>
      </c>
    </row>
    <row r="34" spans="1:20">
      <c r="A34" s="57" t="s">
        <v>110</v>
      </c>
      <c r="C34" s="121">
        <f>AVERAGE(C12:D27)</f>
        <v>204</v>
      </c>
      <c r="D34" s="121"/>
      <c r="E34" s="65">
        <f>AVERAGE(E12:J27)</f>
        <v>1.5420833333333335</v>
      </c>
      <c r="K34" s="153">
        <f>AVERAGE(K12:L27)</f>
        <v>26.2228125</v>
      </c>
      <c r="R34" s="104">
        <f>AVERAGE(R12:R27)</f>
        <v>109.33749999999998</v>
      </c>
      <c r="S34" s="104">
        <f>AVERAGE(S12:S27)</f>
        <v>13.254072679816522</v>
      </c>
      <c r="T34" s="104"/>
    </row>
    <row r="35" spans="1:20">
      <c r="A35" s="57" t="s">
        <v>117</v>
      </c>
      <c r="C35" s="57">
        <f>STDEV(C17:D27)</f>
        <v>0</v>
      </c>
      <c r="E35" s="57">
        <f>STDEV(E12:J27)</f>
        <v>1.6151693192432068E-2</v>
      </c>
      <c r="K35" s="57">
        <f>STDEV(K12:L27)</f>
        <v>0.13198813179783961</v>
      </c>
      <c r="R35" s="57">
        <f>STDEV(R12:R27)</f>
        <v>1.1893275410936228</v>
      </c>
      <c r="S35" s="57">
        <f>STDEV(S12:S27)</f>
        <v>5.9234310236228854E-2</v>
      </c>
    </row>
    <row r="36" spans="1:20">
      <c r="A36" s="154" t="s">
        <v>118</v>
      </c>
      <c r="E36" s="65">
        <f>E34+E35</f>
        <v>1.5582350265257656</v>
      </c>
      <c r="K36" s="153">
        <f>K34+K35</f>
        <v>26.35480063179784</v>
      </c>
      <c r="R36" s="57">
        <f>R34+R35</f>
        <v>110.5268275410936</v>
      </c>
      <c r="S36" s="104">
        <f>S35+S34</f>
        <v>13.313306990052752</v>
      </c>
    </row>
    <row r="37" spans="1:20">
      <c r="A37" s="154" t="s">
        <v>119</v>
      </c>
      <c r="E37" s="65">
        <f>E34-E35</f>
        <v>1.5259316401409013</v>
      </c>
      <c r="K37" s="153">
        <f>K34-K35</f>
        <v>26.09082436820216</v>
      </c>
      <c r="R37" s="57">
        <f>R34-R35</f>
        <v>108.14817245890636</v>
      </c>
      <c r="S37" s="104">
        <f>S34-S35</f>
        <v>13.194838369580292</v>
      </c>
    </row>
    <row r="38" spans="1:20">
      <c r="A38" s="57" t="s">
        <v>124</v>
      </c>
      <c r="C38" s="153">
        <f>MAX(C12:D27)-C32</f>
        <v>0.80000000000001137</v>
      </c>
      <c r="E38" s="65">
        <f>MAX(E12:J27)-E32</f>
        <v>4.6000000000000263E-2</v>
      </c>
      <c r="K38" s="153">
        <f>MAX(K12:L27)-$K32</f>
        <v>1.1799999999999997</v>
      </c>
    </row>
    <row r="39" spans="1:20">
      <c r="A39" s="57" t="s">
        <v>125</v>
      </c>
      <c r="C39" s="153">
        <f>MIN(C12:D27)-C32</f>
        <v>0.80000000000001137</v>
      </c>
      <c r="E39" s="65">
        <f>MIN(E12:J27)-E32</f>
        <v>-3.3999999999999808E-2</v>
      </c>
      <c r="K39" s="153">
        <f>MIN(K12:L27)-K32</f>
        <v>0.62000000000000099</v>
      </c>
    </row>
    <row r="40" spans="1:20" ht="15.75" thickBot="1">
      <c r="B40" s="153"/>
      <c r="C40" s="153"/>
      <c r="D40" s="153"/>
      <c r="E40" s="153"/>
      <c r="F40" s="153"/>
      <c r="G40" s="153"/>
    </row>
    <row r="41" spans="1:20">
      <c r="A41" s="57" t="s">
        <v>121</v>
      </c>
      <c r="B41" s="153"/>
      <c r="C41" s="40" t="s">
        <v>147</v>
      </c>
      <c r="D41" s="40" t="s">
        <v>149</v>
      </c>
      <c r="E41" s="153"/>
      <c r="F41" s="153"/>
      <c r="G41" s="153"/>
    </row>
    <row r="42" spans="1:20">
      <c r="A42" s="57">
        <v>1.48</v>
      </c>
      <c r="B42" s="153"/>
      <c r="C42" s="123">
        <v>1.48</v>
      </c>
      <c r="D42" s="124">
        <v>0</v>
      </c>
      <c r="E42" s="153"/>
      <c r="F42" s="153"/>
      <c r="G42" s="153"/>
    </row>
    <row r="43" spans="1:20">
      <c r="A43" s="57">
        <v>1.49</v>
      </c>
      <c r="B43" s="153"/>
      <c r="C43" s="123">
        <v>1.49</v>
      </c>
      <c r="D43" s="124">
        <v>1</v>
      </c>
      <c r="E43" s="153"/>
      <c r="F43" s="153"/>
      <c r="G43" s="153"/>
    </row>
    <row r="44" spans="1:20">
      <c r="A44" s="57">
        <f>A43+0.01</f>
        <v>1.5</v>
      </c>
      <c r="B44" s="153"/>
      <c r="C44" s="123">
        <v>1.5</v>
      </c>
      <c r="D44" s="124">
        <v>1</v>
      </c>
      <c r="E44" s="153"/>
      <c r="F44" s="153"/>
      <c r="G44" s="153"/>
    </row>
    <row r="45" spans="1:20">
      <c r="A45" s="57">
        <f t="shared" ref="A45:A52" si="6">A44+0.01</f>
        <v>1.51</v>
      </c>
      <c r="B45" s="153"/>
      <c r="C45" s="123">
        <v>1.51</v>
      </c>
      <c r="D45" s="124">
        <v>5</v>
      </c>
      <c r="E45" s="153"/>
      <c r="F45" s="153"/>
      <c r="G45" s="153"/>
    </row>
    <row r="46" spans="1:20">
      <c r="A46" s="57">
        <f t="shared" si="6"/>
        <v>1.52</v>
      </c>
      <c r="B46" s="153"/>
      <c r="C46" s="123">
        <v>1.52</v>
      </c>
      <c r="D46" s="124">
        <v>5</v>
      </c>
      <c r="E46" s="153"/>
      <c r="F46" s="153"/>
      <c r="G46" s="153"/>
    </row>
    <row r="47" spans="1:20">
      <c r="A47" s="57">
        <f t="shared" si="6"/>
        <v>1.53</v>
      </c>
      <c r="B47" s="153"/>
      <c r="C47" s="123">
        <v>1.53</v>
      </c>
      <c r="D47" s="124">
        <v>15</v>
      </c>
      <c r="E47" s="153"/>
      <c r="F47" s="153"/>
      <c r="G47" s="153"/>
    </row>
    <row r="48" spans="1:20">
      <c r="A48" s="57">
        <f t="shared" si="6"/>
        <v>1.54</v>
      </c>
      <c r="B48" s="153"/>
      <c r="C48" s="123">
        <v>1.54</v>
      </c>
      <c r="D48" s="124">
        <v>26</v>
      </c>
      <c r="E48" s="153"/>
      <c r="F48" s="153"/>
      <c r="G48" s="153"/>
    </row>
    <row r="49" spans="1:10">
      <c r="A49" s="57">
        <f>A48+0.01</f>
        <v>1.55</v>
      </c>
      <c r="B49" s="153"/>
      <c r="C49" s="123">
        <v>1.55</v>
      </c>
      <c r="D49" s="124">
        <v>22</v>
      </c>
      <c r="E49" s="153"/>
      <c r="F49" s="153"/>
      <c r="G49" s="153"/>
    </row>
    <row r="50" spans="1:10">
      <c r="A50" s="57">
        <f t="shared" si="6"/>
        <v>1.56</v>
      </c>
      <c r="B50" s="153"/>
      <c r="C50" s="123">
        <v>1.56</v>
      </c>
      <c r="D50" s="124">
        <v>16</v>
      </c>
      <c r="E50" s="153"/>
      <c r="F50" s="153"/>
      <c r="G50" s="153"/>
    </row>
    <row r="51" spans="1:10">
      <c r="A51" s="57">
        <f t="shared" si="6"/>
        <v>1.57</v>
      </c>
      <c r="B51" s="153"/>
      <c r="C51" s="123">
        <v>1.57</v>
      </c>
      <c r="D51" s="124">
        <v>5</v>
      </c>
      <c r="E51" s="153"/>
      <c r="F51" s="153"/>
      <c r="G51" s="153"/>
    </row>
    <row r="52" spans="1:10">
      <c r="A52" s="57">
        <f t="shared" si="6"/>
        <v>1.58</v>
      </c>
      <c r="B52" s="153"/>
      <c r="C52" s="123">
        <v>1.58</v>
      </c>
      <c r="D52" s="124">
        <v>0</v>
      </c>
      <c r="E52" s="153"/>
      <c r="F52" s="153"/>
      <c r="G52" s="153"/>
    </row>
    <row r="53" spans="1:10" ht="15.75" thickBot="1">
      <c r="B53" s="153"/>
      <c r="C53" s="125" t="s">
        <v>148</v>
      </c>
      <c r="D53" s="125">
        <v>0</v>
      </c>
      <c r="E53" s="153"/>
      <c r="F53" s="153"/>
      <c r="G53" s="153"/>
    </row>
    <row r="54" spans="1:10">
      <c r="B54" s="153"/>
      <c r="C54" s="153"/>
      <c r="D54" s="153"/>
      <c r="E54" s="153"/>
      <c r="F54" s="153"/>
      <c r="G54" s="153"/>
    </row>
    <row r="55" spans="1:10">
      <c r="B55" s="153"/>
      <c r="C55" s="153"/>
      <c r="D55" s="153"/>
      <c r="E55" s="153"/>
      <c r="F55" s="153"/>
      <c r="G55" s="153"/>
    </row>
    <row r="56" spans="1:10">
      <c r="C56" s="153"/>
      <c r="D56" s="153"/>
      <c r="E56" s="153"/>
      <c r="F56" s="153"/>
      <c r="G56" s="153"/>
      <c r="H56" s="153"/>
      <c r="I56" s="153"/>
      <c r="J56" s="153"/>
    </row>
  </sheetData>
  <sortState ref="C42:C52">
    <sortCondition ref="C42"/>
  </sortState>
  <mergeCells count="4">
    <mergeCell ref="C9:D9"/>
    <mergeCell ref="E9:I9"/>
    <mergeCell ref="K9:L9"/>
    <mergeCell ref="M9:P9"/>
  </mergeCells>
  <pageMargins left="0.25" right="0.25" top="0.25" bottom="0.25" header="0.3" footer="0.3"/>
  <pageSetup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A62"/>
  <sheetViews>
    <sheetView zoomScale="70" zoomScaleNormal="70" workbookViewId="0">
      <selection activeCell="V31" sqref="V31"/>
    </sheetView>
  </sheetViews>
  <sheetFormatPr defaultRowHeight="15"/>
  <cols>
    <col min="1" max="1" width="6.28515625" style="57" customWidth="1"/>
    <col min="2" max="2" width="16.140625" style="57" customWidth="1"/>
    <col min="3" max="4" width="5.140625" style="57" customWidth="1"/>
    <col min="5" max="9" width="6.85546875" style="57" customWidth="1"/>
    <col min="10" max="10" width="6.85546875" style="57" bestFit="1" customWidth="1"/>
    <col min="11" max="12" width="6.85546875" style="57" customWidth="1"/>
    <col min="13" max="16" width="3.7109375" style="57" customWidth="1"/>
    <col min="17" max="17" width="6.85546875" style="57" customWidth="1"/>
    <col min="18" max="18" width="6.42578125" style="57" customWidth="1"/>
    <col min="19" max="19" width="6.140625" style="57" customWidth="1"/>
    <col min="20" max="20" width="9.85546875" style="57" customWidth="1"/>
    <col min="21" max="16384" width="9.140625" style="57"/>
  </cols>
  <sheetData>
    <row r="1" spans="1:27">
      <c r="A1" s="57" t="s">
        <v>0</v>
      </c>
      <c r="B1" s="52"/>
    </row>
    <row r="2" spans="1:27">
      <c r="A2" s="57" t="s">
        <v>1</v>
      </c>
      <c r="B2" s="52"/>
    </row>
    <row r="3" spans="1:27">
      <c r="A3" s="57" t="s">
        <v>58</v>
      </c>
      <c r="B3" s="52"/>
    </row>
    <row r="4" spans="1:27">
      <c r="B4" s="52"/>
    </row>
    <row r="5" spans="1:27">
      <c r="B5" s="57" t="s">
        <v>112</v>
      </c>
      <c r="C5" s="57" t="s">
        <v>113</v>
      </c>
    </row>
    <row r="6" spans="1:27">
      <c r="A6" s="57" t="s">
        <v>85</v>
      </c>
      <c r="B6" s="52">
        <v>0.08</v>
      </c>
      <c r="C6" s="52">
        <f>B6*25.4</f>
        <v>2.032</v>
      </c>
      <c r="D6" s="52"/>
      <c r="E6" s="70"/>
      <c r="F6" s="70"/>
      <c r="G6" s="70"/>
      <c r="H6" s="70"/>
      <c r="I6" s="70"/>
      <c r="J6" s="70"/>
      <c r="K6" s="70"/>
      <c r="L6" s="70"/>
      <c r="M6" s="52"/>
      <c r="N6" s="52"/>
      <c r="O6" s="52"/>
      <c r="P6" s="52"/>
      <c r="Q6" s="52"/>
      <c r="R6" s="52"/>
      <c r="S6" s="52"/>
      <c r="T6" s="52"/>
    </row>
    <row r="7" spans="1:27">
      <c r="B7" s="52"/>
      <c r="C7" s="52"/>
      <c r="D7" s="52"/>
      <c r="E7" s="70"/>
      <c r="F7" s="70"/>
      <c r="G7" s="70"/>
      <c r="H7" s="70"/>
      <c r="I7" s="70"/>
      <c r="J7" s="70"/>
      <c r="K7" s="70"/>
      <c r="L7" s="70"/>
      <c r="M7" s="52"/>
      <c r="N7" s="52"/>
      <c r="O7" s="52"/>
      <c r="P7" s="52"/>
      <c r="Q7" s="52"/>
      <c r="R7" s="52"/>
      <c r="S7" s="52"/>
      <c r="T7" s="52"/>
    </row>
    <row r="8" spans="1:27">
      <c r="A8" s="57" t="s">
        <v>115</v>
      </c>
      <c r="B8" s="52"/>
      <c r="C8" s="52"/>
      <c r="D8" s="52"/>
      <c r="E8" s="70"/>
      <c r="F8" s="70"/>
      <c r="G8" s="70"/>
      <c r="H8" s="70"/>
      <c r="I8" s="70"/>
      <c r="J8" s="70"/>
      <c r="K8" s="70"/>
      <c r="L8" s="70"/>
      <c r="M8" s="52"/>
      <c r="N8" s="52"/>
      <c r="O8" s="52"/>
      <c r="P8" s="52"/>
      <c r="Q8" s="52"/>
      <c r="R8" s="52"/>
      <c r="S8" s="52"/>
      <c r="T8" s="52"/>
      <c r="W8" s="100" t="s">
        <v>157</v>
      </c>
      <c r="Y8" s="100"/>
    </row>
    <row r="9" spans="1:27" ht="45">
      <c r="A9" s="111" t="s">
        <v>216</v>
      </c>
      <c r="B9" s="128" t="s">
        <v>60</v>
      </c>
      <c r="C9" s="767" t="s">
        <v>61</v>
      </c>
      <c r="D9" s="768"/>
      <c r="E9" s="766" t="s">
        <v>62</v>
      </c>
      <c r="F9" s="766"/>
      <c r="G9" s="766"/>
      <c r="H9" s="766"/>
      <c r="I9" s="766"/>
      <c r="J9" s="129"/>
      <c r="K9" s="767" t="s">
        <v>63</v>
      </c>
      <c r="L9" s="768"/>
      <c r="M9" s="767" t="s">
        <v>64</v>
      </c>
      <c r="N9" s="765"/>
      <c r="O9" s="765"/>
      <c r="P9" s="765"/>
      <c r="Q9" s="130" t="s">
        <v>91</v>
      </c>
      <c r="R9" s="39" t="s">
        <v>220</v>
      </c>
      <c r="S9" s="228" t="s">
        <v>221</v>
      </c>
      <c r="T9" s="152" t="s">
        <v>101</v>
      </c>
      <c r="V9" s="152" t="s">
        <v>216</v>
      </c>
      <c r="W9" s="46" t="s">
        <v>631</v>
      </c>
      <c r="X9" s="133" t="s">
        <v>123</v>
      </c>
      <c r="Y9" s="134" t="s">
        <v>155</v>
      </c>
      <c r="Z9" s="152" t="s">
        <v>196</v>
      </c>
      <c r="AA9" s="252" t="s">
        <v>223</v>
      </c>
    </row>
    <row r="10" spans="1:27" s="121" customFormat="1">
      <c r="A10" s="97"/>
      <c r="B10" s="255"/>
      <c r="C10" s="256">
        <v>1</v>
      </c>
      <c r="D10" s="255">
        <v>2</v>
      </c>
      <c r="E10" s="256">
        <v>1</v>
      </c>
      <c r="F10" s="199">
        <v>2</v>
      </c>
      <c r="G10" s="199">
        <v>3</v>
      </c>
      <c r="H10" s="199">
        <v>4</v>
      </c>
      <c r="I10" s="199">
        <v>5</v>
      </c>
      <c r="J10" s="255">
        <v>6</v>
      </c>
      <c r="K10" s="256">
        <v>1</v>
      </c>
      <c r="L10" s="255">
        <v>2</v>
      </c>
      <c r="M10" s="256">
        <v>1</v>
      </c>
      <c r="N10" s="199">
        <v>2</v>
      </c>
      <c r="O10" s="199">
        <v>3</v>
      </c>
      <c r="P10" s="199">
        <v>4</v>
      </c>
      <c r="Q10" s="255"/>
      <c r="R10" s="262"/>
      <c r="S10" s="263"/>
      <c r="T10" s="143"/>
      <c r="V10" s="264"/>
      <c r="W10" s="143"/>
      <c r="X10" s="142"/>
      <c r="Y10" s="138"/>
      <c r="Z10" s="138"/>
      <c r="AA10" s="138"/>
    </row>
    <row r="11" spans="1:27">
      <c r="A11" s="66"/>
      <c r="B11" s="159"/>
      <c r="C11" s="60"/>
      <c r="D11" s="159"/>
      <c r="E11" s="233"/>
      <c r="F11" s="71"/>
      <c r="G11" s="71"/>
      <c r="H11" s="71"/>
      <c r="I11" s="71"/>
      <c r="J11" s="234"/>
      <c r="K11" s="233"/>
      <c r="L11" s="234"/>
      <c r="M11" s="60"/>
      <c r="N11" s="61"/>
      <c r="O11" s="61"/>
      <c r="P11" s="61"/>
      <c r="Q11" s="159"/>
      <c r="R11" s="139"/>
      <c r="S11" s="140"/>
      <c r="T11" s="143"/>
      <c r="V11" s="143"/>
      <c r="W11" s="143"/>
      <c r="X11" s="142"/>
      <c r="Y11" s="143"/>
      <c r="Z11" s="143"/>
      <c r="AA11" s="143"/>
    </row>
    <row r="12" spans="1:27" s="164" customFormat="1" ht="15" customHeight="1">
      <c r="A12" s="197">
        <v>0</v>
      </c>
      <c r="B12" s="84"/>
      <c r="C12" s="81">
        <v>203</v>
      </c>
      <c r="D12" s="84">
        <v>204</v>
      </c>
      <c r="E12" s="72">
        <v>2.0499999999999998</v>
      </c>
      <c r="F12" s="102">
        <v>2.0299999999999998</v>
      </c>
      <c r="G12" s="102">
        <v>2.1</v>
      </c>
      <c r="H12" s="102">
        <v>2.0499999999999998</v>
      </c>
      <c r="I12" s="101">
        <v>1.97</v>
      </c>
      <c r="J12" s="73">
        <v>1.96</v>
      </c>
      <c r="K12" s="72">
        <v>27.56</v>
      </c>
      <c r="L12" s="73">
        <v>26.47</v>
      </c>
      <c r="M12" s="287"/>
      <c r="N12" s="190"/>
      <c r="O12" s="190"/>
      <c r="P12" s="191"/>
      <c r="Q12" s="286" t="s">
        <v>93</v>
      </c>
      <c r="R12" s="292">
        <v>138</v>
      </c>
      <c r="S12" s="64">
        <f t="shared" ref="S12:S27" si="0">R12/(AVERAGE(C12:D12)*AVERAGE(E12:J12)*AVERAGE(K12:L12)*0.001)</f>
        <v>12.385894498171304</v>
      </c>
      <c r="T12" s="301">
        <v>1</v>
      </c>
      <c r="V12" s="302">
        <v>0</v>
      </c>
      <c r="W12" s="809">
        <f>MAX(E12:J12)-MIN(E12:J12)</f>
        <v>0.14000000000000012</v>
      </c>
      <c r="X12" s="143">
        <f t="shared" ref="X12:X27" si="1">IF(OR(ABS(E12-$C$6)&gt;($C$6*0.1),ABS(F12-$C$6)&gt;($C$6*0.1),ABS(G12-$C$6)&gt;($C$6*0.1),ABS(H12-$C$6)&gt;($C$6*0.1),ABS(I12-$C$6)&gt;($C$6*0.1),ABS(J12-$C$6)&gt;($C$6*0.1)),1,0)</f>
        <v>0</v>
      </c>
      <c r="Y12" s="143">
        <f>IF(OR(K12&gt;Cuts!$B$16, L12&gt;Cuts!B$16), 1,0)</f>
        <v>1</v>
      </c>
      <c r="Z12" s="246">
        <f>IF(OR(C12&gt;Cuts!$C$16, D12&gt;Cuts!$C$16),1,0)</f>
        <v>0</v>
      </c>
      <c r="AA12" s="301">
        <f>IF(OR(M12="Y",N12="Y",O12="Y",P12="Y"),1,0)</f>
        <v>0</v>
      </c>
    </row>
    <row r="13" spans="1:27">
      <c r="A13" s="66">
        <v>1</v>
      </c>
      <c r="B13" s="159"/>
      <c r="C13" s="81">
        <v>204</v>
      </c>
      <c r="D13" s="54">
        <v>204</v>
      </c>
      <c r="E13" s="233">
        <v>1.94</v>
      </c>
      <c r="F13" s="71">
        <v>1.97</v>
      </c>
      <c r="G13" s="71">
        <v>1.94</v>
      </c>
      <c r="H13" s="71">
        <v>1.95</v>
      </c>
      <c r="I13" s="71">
        <v>1.93</v>
      </c>
      <c r="J13" s="234">
        <v>1.95</v>
      </c>
      <c r="K13" s="72">
        <v>26.36</v>
      </c>
      <c r="L13" s="73">
        <v>26.35</v>
      </c>
      <c r="M13" s="287"/>
      <c r="N13" s="190"/>
      <c r="O13" s="190"/>
      <c r="P13" s="191"/>
      <c r="Q13" s="286" t="s">
        <v>93</v>
      </c>
      <c r="R13" s="139">
        <v>132.19999999999999</v>
      </c>
      <c r="S13" s="64">
        <f t="shared" si="0"/>
        <v>12.631260002773145</v>
      </c>
      <c r="T13" s="143">
        <v>3</v>
      </c>
      <c r="V13" s="143">
        <v>1</v>
      </c>
      <c r="W13" s="809">
        <f t="shared" ref="W13:W27" si="2">MAX(E13:J13)-MIN(E13:J13)</f>
        <v>4.0000000000000036E-2</v>
      </c>
      <c r="X13" s="143">
        <f t="shared" si="1"/>
        <v>0</v>
      </c>
      <c r="Y13" s="143">
        <f>IF(OR(K13&gt;Cuts!$B$16, L13&gt;Cuts!B$16), 1,0)</f>
        <v>0</v>
      </c>
      <c r="Z13" s="246">
        <f>IF(OR(C13&gt;Cuts!$C$16, D13&gt;Cuts!$C$16),1,0)</f>
        <v>0</v>
      </c>
      <c r="AA13" s="301">
        <f t="shared" ref="AA13:AA27" si="3">IF(OR(M13="Y",N13="Y",O13="Y",P13="Y"),1,0)</f>
        <v>0</v>
      </c>
    </row>
    <row r="14" spans="1:27">
      <c r="A14" s="66">
        <f>A13+1</f>
        <v>2</v>
      </c>
      <c r="B14" s="159"/>
      <c r="C14" s="81">
        <v>204</v>
      </c>
      <c r="D14" s="54">
        <v>204</v>
      </c>
      <c r="E14" s="233">
        <v>2</v>
      </c>
      <c r="F14" s="71">
        <v>2</v>
      </c>
      <c r="G14" s="71">
        <v>2</v>
      </c>
      <c r="H14" s="71">
        <v>2</v>
      </c>
      <c r="I14" s="71">
        <v>2</v>
      </c>
      <c r="J14" s="234">
        <v>2</v>
      </c>
      <c r="K14" s="72">
        <v>26.3</v>
      </c>
      <c r="L14" s="73">
        <v>26.26</v>
      </c>
      <c r="M14" s="287"/>
      <c r="N14" s="190"/>
      <c r="O14" s="190"/>
      <c r="P14" s="191"/>
      <c r="Q14" s="286" t="s">
        <v>93</v>
      </c>
      <c r="R14" s="139">
        <v>136.5</v>
      </c>
      <c r="S14" s="64">
        <f t="shared" si="0"/>
        <v>12.730548840540783</v>
      </c>
      <c r="T14" s="143">
        <v>3</v>
      </c>
      <c r="V14" s="143">
        <f>V13+1</f>
        <v>2</v>
      </c>
      <c r="W14" s="809">
        <f t="shared" si="2"/>
        <v>0</v>
      </c>
      <c r="X14" s="143">
        <f t="shared" si="1"/>
        <v>0</v>
      </c>
      <c r="Y14" s="143">
        <f>IF(OR(K14&gt;Cuts!$B$16, L14&gt;Cuts!B$16), 1,0)</f>
        <v>0</v>
      </c>
      <c r="Z14" s="246">
        <f>IF(OR(C14&gt;Cuts!$C$16, D14&gt;Cuts!$C$16),1,0)</f>
        <v>0</v>
      </c>
      <c r="AA14" s="301">
        <f t="shared" si="3"/>
        <v>0</v>
      </c>
    </row>
    <row r="15" spans="1:27">
      <c r="A15" s="66">
        <f t="shared" ref="A15:A27" si="4">A14+1</f>
        <v>3</v>
      </c>
      <c r="B15" s="159"/>
      <c r="C15" s="297">
        <v>204</v>
      </c>
      <c r="D15" s="298">
        <v>204</v>
      </c>
      <c r="E15" s="233">
        <v>1.96</v>
      </c>
      <c r="F15" s="71">
        <v>1.96</v>
      </c>
      <c r="G15" s="71">
        <v>1.96</v>
      </c>
      <c r="H15" s="71">
        <v>1.97</v>
      </c>
      <c r="I15" s="71">
        <v>1.97</v>
      </c>
      <c r="J15" s="234">
        <v>1.98</v>
      </c>
      <c r="K15" s="72">
        <v>26.53</v>
      </c>
      <c r="L15" s="73">
        <v>26.42</v>
      </c>
      <c r="M15" s="287"/>
      <c r="N15" s="190"/>
      <c r="O15" s="190"/>
      <c r="P15" s="191"/>
      <c r="Q15" s="286" t="s">
        <v>94</v>
      </c>
      <c r="R15" s="139">
        <v>135.69999999999999</v>
      </c>
      <c r="S15" s="64">
        <f t="shared" si="0"/>
        <v>12.775648503027268</v>
      </c>
      <c r="T15" s="143">
        <v>3</v>
      </c>
      <c r="V15" s="143">
        <f t="shared" ref="V15:V27" si="5">V14+1</f>
        <v>3</v>
      </c>
      <c r="W15" s="809">
        <f t="shared" si="2"/>
        <v>2.0000000000000018E-2</v>
      </c>
      <c r="X15" s="143">
        <f t="shared" si="1"/>
        <v>0</v>
      </c>
      <c r="Y15" s="143">
        <f>IF(OR(K15&gt;Cuts!$B$16, L15&gt;Cuts!B$16), 1,0)</f>
        <v>0</v>
      </c>
      <c r="Z15" s="246">
        <f>IF(OR(C15&gt;Cuts!$C$16, D15&gt;Cuts!$C$16),1,0)</f>
        <v>0</v>
      </c>
      <c r="AA15" s="301">
        <f t="shared" si="3"/>
        <v>0</v>
      </c>
    </row>
    <row r="16" spans="1:27">
      <c r="A16" s="66">
        <f t="shared" si="4"/>
        <v>4</v>
      </c>
      <c r="B16" s="159"/>
      <c r="C16" s="297">
        <v>204</v>
      </c>
      <c r="D16" s="298">
        <v>204</v>
      </c>
      <c r="E16" s="233">
        <v>1.94</v>
      </c>
      <c r="F16" s="71">
        <v>1.96</v>
      </c>
      <c r="G16" s="71">
        <v>1.93</v>
      </c>
      <c r="H16" s="71">
        <v>1.95</v>
      </c>
      <c r="I16" s="71">
        <v>1.95</v>
      </c>
      <c r="J16" s="234">
        <v>1.97</v>
      </c>
      <c r="K16" s="72">
        <v>26.5</v>
      </c>
      <c r="L16" s="73">
        <v>26.36</v>
      </c>
      <c r="M16" s="287"/>
      <c r="N16" s="190" t="s">
        <v>88</v>
      </c>
      <c r="O16" s="190"/>
      <c r="P16" s="191"/>
      <c r="Q16" s="286" t="s">
        <v>93</v>
      </c>
      <c r="R16" s="139">
        <v>133.69999999999999</v>
      </c>
      <c r="S16" s="64">
        <f t="shared" si="0"/>
        <v>12.716554747669122</v>
      </c>
      <c r="T16" s="143">
        <v>3</v>
      </c>
      <c r="V16" s="143">
        <f t="shared" si="5"/>
        <v>4</v>
      </c>
      <c r="W16" s="809">
        <f t="shared" si="2"/>
        <v>4.0000000000000036E-2</v>
      </c>
      <c r="X16" s="143">
        <f t="shared" si="1"/>
        <v>0</v>
      </c>
      <c r="Y16" s="143">
        <f>IF(OR(K16&gt;Cuts!$B$16, L16&gt;Cuts!B$16), 1,0)</f>
        <v>0</v>
      </c>
      <c r="Z16" s="246">
        <f>IF(OR(C16&gt;Cuts!$C$16, D16&gt;Cuts!$C$16),1,0)</f>
        <v>0</v>
      </c>
      <c r="AA16" s="301">
        <f t="shared" si="3"/>
        <v>1</v>
      </c>
    </row>
    <row r="17" spans="1:27">
      <c r="A17" s="66">
        <f t="shared" si="4"/>
        <v>5</v>
      </c>
      <c r="B17" s="159"/>
      <c r="C17" s="297">
        <v>204</v>
      </c>
      <c r="D17" s="298">
        <v>204</v>
      </c>
      <c r="E17" s="233">
        <v>1.95</v>
      </c>
      <c r="F17" s="71">
        <v>1.95</v>
      </c>
      <c r="G17" s="71">
        <v>1.96</v>
      </c>
      <c r="H17" s="71">
        <v>1.97</v>
      </c>
      <c r="I17" s="71">
        <v>1.96</v>
      </c>
      <c r="J17" s="234">
        <v>1.97</v>
      </c>
      <c r="K17" s="72">
        <v>26.47</v>
      </c>
      <c r="L17" s="73">
        <v>26.23</v>
      </c>
      <c r="M17" s="287"/>
      <c r="N17" s="190"/>
      <c r="O17" s="190"/>
      <c r="P17" s="191"/>
      <c r="Q17" s="286" t="s">
        <v>94</v>
      </c>
      <c r="R17" s="139">
        <v>132.6</v>
      </c>
      <c r="S17" s="64">
        <f t="shared" si="0"/>
        <v>12.585679433063548</v>
      </c>
      <c r="T17" s="143">
        <v>3</v>
      </c>
      <c r="V17" s="143">
        <f t="shared" si="5"/>
        <v>5</v>
      </c>
      <c r="W17" s="809">
        <f t="shared" si="2"/>
        <v>2.0000000000000018E-2</v>
      </c>
      <c r="X17" s="143">
        <f t="shared" si="1"/>
        <v>0</v>
      </c>
      <c r="Y17" s="143">
        <f>IF(OR(K17&gt;Cuts!$B$16, L17&gt;Cuts!B$16), 1,0)</f>
        <v>0</v>
      </c>
      <c r="Z17" s="246">
        <f>IF(OR(C17&gt;Cuts!$C$16, D17&gt;Cuts!$C$16),1,0)</f>
        <v>0</v>
      </c>
      <c r="AA17" s="301">
        <f t="shared" si="3"/>
        <v>0</v>
      </c>
    </row>
    <row r="18" spans="1:27">
      <c r="A18" s="66">
        <f t="shared" si="4"/>
        <v>6</v>
      </c>
      <c r="B18" s="159"/>
      <c r="C18" s="297">
        <v>204</v>
      </c>
      <c r="D18" s="298">
        <v>204</v>
      </c>
      <c r="E18" s="233">
        <v>1.98</v>
      </c>
      <c r="F18" s="71">
        <v>1.98</v>
      </c>
      <c r="G18" s="71">
        <v>1.99</v>
      </c>
      <c r="H18" s="71">
        <v>1.98</v>
      </c>
      <c r="I18" s="71">
        <v>2</v>
      </c>
      <c r="J18" s="234">
        <v>1.99</v>
      </c>
      <c r="K18" s="72">
        <v>26.44</v>
      </c>
      <c r="L18" s="73">
        <v>26.5</v>
      </c>
      <c r="M18" s="287"/>
      <c r="N18" s="190"/>
      <c r="O18" s="190"/>
      <c r="P18" s="191"/>
      <c r="Q18" s="286" t="s">
        <v>93</v>
      </c>
      <c r="R18" s="139">
        <v>136.6</v>
      </c>
      <c r="S18" s="64">
        <f t="shared" si="0"/>
        <v>12.733318011093761</v>
      </c>
      <c r="T18" s="143">
        <v>3</v>
      </c>
      <c r="V18" s="143">
        <f t="shared" si="5"/>
        <v>6</v>
      </c>
      <c r="W18" s="809">
        <f t="shared" si="2"/>
        <v>2.0000000000000018E-2</v>
      </c>
      <c r="X18" s="143">
        <f t="shared" si="1"/>
        <v>0</v>
      </c>
      <c r="Y18" s="143">
        <f>IF(OR(K18&gt;Cuts!$B$16, L18&gt;Cuts!B$16), 1,0)</f>
        <v>0</v>
      </c>
      <c r="Z18" s="246">
        <f>IF(OR(C18&gt;Cuts!$C$16, D18&gt;Cuts!$C$16),1,0)</f>
        <v>0</v>
      </c>
      <c r="AA18" s="301">
        <f t="shared" si="3"/>
        <v>0</v>
      </c>
    </row>
    <row r="19" spans="1:27">
      <c r="A19" s="66">
        <f t="shared" si="4"/>
        <v>7</v>
      </c>
      <c r="B19" s="159"/>
      <c r="C19" s="297">
        <v>204</v>
      </c>
      <c r="D19" s="298">
        <v>204</v>
      </c>
      <c r="E19" s="233">
        <v>2.0299999999999998</v>
      </c>
      <c r="F19" s="71">
        <v>2.0299999999999998</v>
      </c>
      <c r="G19" s="71">
        <v>2.0299999999999998</v>
      </c>
      <c r="H19" s="71">
        <v>2.04</v>
      </c>
      <c r="I19" s="71">
        <v>2.04</v>
      </c>
      <c r="J19" s="234">
        <v>2.0499999999999998</v>
      </c>
      <c r="K19" s="72">
        <v>26.55</v>
      </c>
      <c r="L19" s="73">
        <v>26.96</v>
      </c>
      <c r="M19" s="287"/>
      <c r="N19" s="190"/>
      <c r="O19" s="190"/>
      <c r="P19" s="191"/>
      <c r="Q19" s="286" t="s">
        <v>93</v>
      </c>
      <c r="R19" s="139">
        <v>141.30000000000001</v>
      </c>
      <c r="S19" s="64">
        <f t="shared" si="0"/>
        <v>12.711215557980891</v>
      </c>
      <c r="T19" s="143">
        <v>3</v>
      </c>
      <c r="V19" s="143">
        <f t="shared" si="5"/>
        <v>7</v>
      </c>
      <c r="W19" s="809">
        <f t="shared" si="2"/>
        <v>2.0000000000000018E-2</v>
      </c>
      <c r="X19" s="143">
        <f t="shared" si="1"/>
        <v>0</v>
      </c>
      <c r="Y19" s="143">
        <f>IF(OR(K19&gt;Cuts!$B$16, L19&gt;Cuts!B$16), 1,0)</f>
        <v>0</v>
      </c>
      <c r="Z19" s="246">
        <f>IF(OR(C19&gt;Cuts!$C$16, D19&gt;Cuts!$C$16),1,0)</f>
        <v>0</v>
      </c>
      <c r="AA19" s="301">
        <f t="shared" si="3"/>
        <v>0</v>
      </c>
    </row>
    <row r="20" spans="1:27">
      <c r="A20" s="66">
        <f t="shared" si="4"/>
        <v>8</v>
      </c>
      <c r="B20" s="159"/>
      <c r="C20" s="297">
        <v>204</v>
      </c>
      <c r="D20" s="298">
        <v>204</v>
      </c>
      <c r="E20" s="233">
        <v>1.99</v>
      </c>
      <c r="F20" s="71">
        <v>1.98</v>
      </c>
      <c r="G20" s="71">
        <v>1.98</v>
      </c>
      <c r="H20" s="71">
        <v>1.99</v>
      </c>
      <c r="I20" s="71">
        <v>2</v>
      </c>
      <c r="J20" s="234">
        <v>2</v>
      </c>
      <c r="K20" s="72">
        <v>26.5</v>
      </c>
      <c r="L20" s="73">
        <v>26.27</v>
      </c>
      <c r="M20" s="287"/>
      <c r="N20" s="190"/>
      <c r="O20" s="190" t="s">
        <v>89</v>
      </c>
      <c r="P20" s="191"/>
      <c r="Q20" s="286" t="s">
        <v>93</v>
      </c>
      <c r="R20" s="139">
        <v>135.5</v>
      </c>
      <c r="S20" s="64">
        <f t="shared" si="0"/>
        <v>12.650245471711598</v>
      </c>
      <c r="T20" s="143">
        <v>3</v>
      </c>
      <c r="V20" s="143">
        <f t="shared" si="5"/>
        <v>8</v>
      </c>
      <c r="W20" s="809">
        <f t="shared" si="2"/>
        <v>2.0000000000000018E-2</v>
      </c>
      <c r="X20" s="143">
        <f t="shared" si="1"/>
        <v>0</v>
      </c>
      <c r="Y20" s="143">
        <f>IF(OR(K20&gt;Cuts!$B$16, L20&gt;Cuts!B$16), 1,0)</f>
        <v>0</v>
      </c>
      <c r="Z20" s="246">
        <f>IF(OR(C20&gt;Cuts!$C$16, D20&gt;Cuts!$C$16),1,0)</f>
        <v>0</v>
      </c>
      <c r="AA20" s="301">
        <f t="shared" si="3"/>
        <v>0</v>
      </c>
    </row>
    <row r="21" spans="1:27">
      <c r="A21" s="66">
        <f t="shared" si="4"/>
        <v>9</v>
      </c>
      <c r="B21" s="159"/>
      <c r="C21" s="297">
        <v>204</v>
      </c>
      <c r="D21" s="298">
        <v>204</v>
      </c>
      <c r="E21" s="233">
        <v>1.99</v>
      </c>
      <c r="F21" s="71">
        <v>2</v>
      </c>
      <c r="G21" s="71">
        <v>2</v>
      </c>
      <c r="H21" s="71">
        <v>2</v>
      </c>
      <c r="I21" s="71">
        <v>1.99</v>
      </c>
      <c r="J21" s="234">
        <v>2</v>
      </c>
      <c r="K21" s="72">
        <v>26.27</v>
      </c>
      <c r="L21" s="73">
        <v>26.17</v>
      </c>
      <c r="M21" s="287"/>
      <c r="N21" s="190"/>
      <c r="O21" s="190"/>
      <c r="P21" s="191"/>
      <c r="Q21" s="286" t="s">
        <v>93</v>
      </c>
      <c r="R21" s="139">
        <v>136.19999999999999</v>
      </c>
      <c r="S21" s="64">
        <f t="shared" si="0"/>
        <v>12.752892097499059</v>
      </c>
      <c r="T21" s="143">
        <v>3</v>
      </c>
      <c r="V21" s="143">
        <f t="shared" si="5"/>
        <v>9</v>
      </c>
      <c r="W21" s="809">
        <f t="shared" si="2"/>
        <v>1.0000000000000009E-2</v>
      </c>
      <c r="X21" s="143">
        <f t="shared" si="1"/>
        <v>0</v>
      </c>
      <c r="Y21" s="143">
        <f>IF(OR(K21&gt;Cuts!$B$16, L21&gt;Cuts!B$16), 1,0)</f>
        <v>0</v>
      </c>
      <c r="Z21" s="246">
        <f>IF(OR(C21&gt;Cuts!$C$16, D21&gt;Cuts!$C$16),1,0)</f>
        <v>0</v>
      </c>
      <c r="AA21" s="301">
        <f t="shared" si="3"/>
        <v>0</v>
      </c>
    </row>
    <row r="22" spans="1:27">
      <c r="A22" s="66">
        <f t="shared" si="4"/>
        <v>10</v>
      </c>
      <c r="B22" s="159"/>
      <c r="C22" s="297">
        <v>204</v>
      </c>
      <c r="D22" s="298">
        <v>204</v>
      </c>
      <c r="E22" s="233">
        <v>2.0299999999999998</v>
      </c>
      <c r="F22" s="71">
        <v>2.0299999999999998</v>
      </c>
      <c r="G22" s="71">
        <v>2.02</v>
      </c>
      <c r="H22" s="71">
        <v>2.0099999999999998</v>
      </c>
      <c r="I22" s="71">
        <v>2.0099999999999998</v>
      </c>
      <c r="J22" s="234">
        <v>2.0099999999999998</v>
      </c>
      <c r="K22" s="72">
        <v>26.57</v>
      </c>
      <c r="L22" s="73">
        <v>26.17</v>
      </c>
      <c r="M22" s="287"/>
      <c r="N22" s="190"/>
      <c r="O22" s="190"/>
      <c r="P22" s="191"/>
      <c r="Q22" s="288"/>
      <c r="R22" s="139">
        <v>138.9</v>
      </c>
      <c r="S22" s="64">
        <f t="shared" si="0"/>
        <v>12.792901492503335</v>
      </c>
      <c r="T22" s="143">
        <v>3</v>
      </c>
      <c r="V22" s="143">
        <f t="shared" si="5"/>
        <v>10</v>
      </c>
      <c r="W22" s="809">
        <f t="shared" si="2"/>
        <v>2.0000000000000018E-2</v>
      </c>
      <c r="X22" s="143">
        <f t="shared" si="1"/>
        <v>0</v>
      </c>
      <c r="Y22" s="143">
        <f>IF(OR(K22&gt;Cuts!$B$16, L22&gt;Cuts!B$16), 1,0)</f>
        <v>0</v>
      </c>
      <c r="Z22" s="246">
        <f>IF(OR(C22&gt;Cuts!$C$16, D22&gt;Cuts!$C$16),1,0)</f>
        <v>0</v>
      </c>
      <c r="AA22" s="301">
        <f t="shared" si="3"/>
        <v>0</v>
      </c>
    </row>
    <row r="23" spans="1:27">
      <c r="A23" s="66">
        <f t="shared" si="4"/>
        <v>11</v>
      </c>
      <c r="B23" s="159"/>
      <c r="C23" s="297">
        <v>204</v>
      </c>
      <c r="D23" s="298">
        <v>204</v>
      </c>
      <c r="E23" s="233">
        <v>1.99</v>
      </c>
      <c r="F23" s="71">
        <v>1.97</v>
      </c>
      <c r="G23" s="71">
        <v>1.97</v>
      </c>
      <c r="H23" s="71">
        <v>1.96</v>
      </c>
      <c r="I23" s="71">
        <v>1.99</v>
      </c>
      <c r="J23" s="234">
        <v>1.96</v>
      </c>
      <c r="K23" s="72">
        <v>26.16</v>
      </c>
      <c r="L23" s="73">
        <v>26.95</v>
      </c>
      <c r="M23" s="287"/>
      <c r="N23" s="190" t="s">
        <v>89</v>
      </c>
      <c r="O23" s="190"/>
      <c r="P23" s="191"/>
      <c r="Q23" s="286" t="s">
        <v>93</v>
      </c>
      <c r="R23" s="139">
        <v>137.1</v>
      </c>
      <c r="S23" s="64">
        <f t="shared" si="0"/>
        <v>12.825093193806298</v>
      </c>
      <c r="T23" s="143">
        <v>3</v>
      </c>
      <c r="V23" s="143">
        <f t="shared" si="5"/>
        <v>11</v>
      </c>
      <c r="W23" s="809">
        <f t="shared" si="2"/>
        <v>3.0000000000000027E-2</v>
      </c>
      <c r="X23" s="143">
        <f t="shared" si="1"/>
        <v>0</v>
      </c>
      <c r="Y23" s="143">
        <f>IF(OR(K23&gt;Cuts!$B$16, L23&gt;Cuts!B$16), 1,0)</f>
        <v>0</v>
      </c>
      <c r="Z23" s="246">
        <f>IF(OR(C23&gt;Cuts!$C$16, D23&gt;Cuts!$C$16),1,0)</f>
        <v>0</v>
      </c>
      <c r="AA23" s="301">
        <f t="shared" si="3"/>
        <v>0</v>
      </c>
    </row>
    <row r="24" spans="1:27">
      <c r="A24" s="66">
        <f t="shared" si="4"/>
        <v>12</v>
      </c>
      <c r="B24" s="159"/>
      <c r="C24" s="297">
        <v>204</v>
      </c>
      <c r="D24" s="298">
        <v>204</v>
      </c>
      <c r="E24" s="233">
        <v>1.98</v>
      </c>
      <c r="F24" s="71">
        <v>2.0099999999999998</v>
      </c>
      <c r="G24" s="71">
        <v>1.97</v>
      </c>
      <c r="H24" s="71">
        <v>2</v>
      </c>
      <c r="I24" s="71">
        <v>1.97</v>
      </c>
      <c r="J24" s="234">
        <v>2</v>
      </c>
      <c r="K24" s="72">
        <v>26.71</v>
      </c>
      <c r="L24" s="73">
        <v>26.57</v>
      </c>
      <c r="M24" s="287"/>
      <c r="N24" s="190"/>
      <c r="O24" s="190"/>
      <c r="P24" s="191"/>
      <c r="Q24" s="286" t="s">
        <v>94</v>
      </c>
      <c r="R24" s="139">
        <v>137.5</v>
      </c>
      <c r="S24" s="64">
        <f t="shared" si="0"/>
        <v>12.724745849345227</v>
      </c>
      <c r="T24" s="143">
        <v>3</v>
      </c>
      <c r="V24" s="143">
        <f t="shared" si="5"/>
        <v>12</v>
      </c>
      <c r="W24" s="809">
        <f t="shared" si="2"/>
        <v>3.9999999999999813E-2</v>
      </c>
      <c r="X24" s="143">
        <f t="shared" si="1"/>
        <v>0</v>
      </c>
      <c r="Y24" s="143">
        <f>IF(OR(K24&gt;Cuts!$B$16, L24&gt;Cuts!B$16), 1,0)</f>
        <v>0</v>
      </c>
      <c r="Z24" s="246">
        <f>IF(OR(C24&gt;Cuts!$C$16, D24&gt;Cuts!$C$16),1,0)</f>
        <v>0</v>
      </c>
      <c r="AA24" s="301">
        <f t="shared" si="3"/>
        <v>0</v>
      </c>
    </row>
    <row r="25" spans="1:27">
      <c r="A25" s="66">
        <f t="shared" si="4"/>
        <v>13</v>
      </c>
      <c r="B25" s="159"/>
      <c r="C25" s="297">
        <v>204</v>
      </c>
      <c r="D25" s="298">
        <v>204</v>
      </c>
      <c r="E25" s="233">
        <v>2</v>
      </c>
      <c r="F25" s="71">
        <v>2.0099999999999998</v>
      </c>
      <c r="G25" s="71">
        <v>1.98</v>
      </c>
      <c r="H25" s="71">
        <v>1.98</v>
      </c>
      <c r="I25" s="71">
        <v>1.99</v>
      </c>
      <c r="J25" s="234">
        <v>2</v>
      </c>
      <c r="K25" s="72">
        <v>26.99</v>
      </c>
      <c r="L25" s="73">
        <v>26.52</v>
      </c>
      <c r="M25" s="287"/>
      <c r="N25" s="190"/>
      <c r="O25" s="190"/>
      <c r="P25" s="191"/>
      <c r="Q25" s="286" t="s">
        <v>93</v>
      </c>
      <c r="R25" s="139">
        <v>137.6</v>
      </c>
      <c r="S25" s="64">
        <f t="shared" si="0"/>
        <v>12.647461961379431</v>
      </c>
      <c r="T25" s="143">
        <v>3</v>
      </c>
      <c r="V25" s="143">
        <f t="shared" si="5"/>
        <v>13</v>
      </c>
      <c r="W25" s="809">
        <f t="shared" si="2"/>
        <v>2.9999999999999805E-2</v>
      </c>
      <c r="X25" s="143">
        <f t="shared" si="1"/>
        <v>0</v>
      </c>
      <c r="Y25" s="143">
        <f>IF(OR(K25&gt;Cuts!$B$16, L25&gt;Cuts!B$16), 1,0)</f>
        <v>0</v>
      </c>
      <c r="Z25" s="246">
        <f>IF(OR(C25&gt;Cuts!$C$16, D25&gt;Cuts!$C$16),1,0)</f>
        <v>0</v>
      </c>
      <c r="AA25" s="301">
        <f t="shared" si="3"/>
        <v>0</v>
      </c>
    </row>
    <row r="26" spans="1:27">
      <c r="A26" s="66">
        <f t="shared" si="4"/>
        <v>14</v>
      </c>
      <c r="B26" s="159"/>
      <c r="C26" s="297">
        <v>204</v>
      </c>
      <c r="D26" s="298">
        <v>204</v>
      </c>
      <c r="E26" s="233">
        <v>2.02</v>
      </c>
      <c r="F26" s="71">
        <v>2.0099999999999998</v>
      </c>
      <c r="G26" s="71">
        <v>1.99</v>
      </c>
      <c r="H26" s="71">
        <v>2.0099999999999998</v>
      </c>
      <c r="I26" s="71">
        <v>2.0099999999999998</v>
      </c>
      <c r="J26" s="234">
        <v>2.0099999999999998</v>
      </c>
      <c r="K26" s="72">
        <v>26.05</v>
      </c>
      <c r="L26" s="73">
        <v>26.4</v>
      </c>
      <c r="M26" s="287"/>
      <c r="N26" s="190"/>
      <c r="O26" s="190"/>
      <c r="P26" s="191"/>
      <c r="Q26" s="286" t="s">
        <v>94</v>
      </c>
      <c r="R26" s="139">
        <v>140.5</v>
      </c>
      <c r="S26" s="64">
        <f t="shared" si="0"/>
        <v>13.076600726007287</v>
      </c>
      <c r="T26" s="143">
        <v>3</v>
      </c>
      <c r="V26" s="143">
        <f t="shared" si="5"/>
        <v>14</v>
      </c>
      <c r="W26" s="809">
        <f t="shared" si="2"/>
        <v>3.0000000000000027E-2</v>
      </c>
      <c r="X26" s="143">
        <f t="shared" si="1"/>
        <v>0</v>
      </c>
      <c r="Y26" s="143">
        <f>IF(OR(K26&gt;Cuts!$B$16, L26&gt;Cuts!B$16), 1,0)</f>
        <v>0</v>
      </c>
      <c r="Z26" s="246">
        <f>IF(OR(C26&gt;Cuts!$C$16, D26&gt;Cuts!$C$16),1,0)</f>
        <v>0</v>
      </c>
      <c r="AA26" s="301">
        <f t="shared" si="3"/>
        <v>0</v>
      </c>
    </row>
    <row r="27" spans="1:27">
      <c r="A27" s="111">
        <f t="shared" si="4"/>
        <v>15</v>
      </c>
      <c r="B27" s="281"/>
      <c r="C27" s="299">
        <v>204</v>
      </c>
      <c r="D27" s="300">
        <v>204</v>
      </c>
      <c r="E27" s="293">
        <v>1.95</v>
      </c>
      <c r="F27" s="129">
        <v>1.97</v>
      </c>
      <c r="G27" s="129">
        <v>1.97</v>
      </c>
      <c r="H27" s="129">
        <v>1.98</v>
      </c>
      <c r="I27" s="129">
        <v>1.96</v>
      </c>
      <c r="J27" s="254">
        <v>1.98</v>
      </c>
      <c r="K27" s="88">
        <v>26.3</v>
      </c>
      <c r="L27" s="89">
        <v>26.42</v>
      </c>
      <c r="M27" s="294"/>
      <c r="N27" s="295"/>
      <c r="O27" s="295"/>
      <c r="P27" s="194"/>
      <c r="Q27" s="296" t="s">
        <v>93</v>
      </c>
      <c r="R27" s="155">
        <v>135.1</v>
      </c>
      <c r="S27" s="96">
        <f t="shared" si="0"/>
        <v>12.763833444576772</v>
      </c>
      <c r="T27" s="152">
        <v>3</v>
      </c>
      <c r="V27" s="152">
        <f t="shared" si="5"/>
        <v>15</v>
      </c>
      <c r="W27" s="809">
        <f t="shared" si="2"/>
        <v>3.0000000000000027E-2</v>
      </c>
      <c r="X27" s="152">
        <f t="shared" si="1"/>
        <v>0</v>
      </c>
      <c r="Y27" s="152">
        <f>IF(OR(K27&gt;Cuts!$B$16, L27&gt;Cuts!B$16), 1,0)</f>
        <v>0</v>
      </c>
      <c r="Z27" s="248">
        <f>IF(OR(C27&gt;Cuts!$C$16, D27&gt;Cuts!$C$16),1,0)</f>
        <v>0</v>
      </c>
      <c r="AA27" s="309">
        <f t="shared" si="3"/>
        <v>0</v>
      </c>
    </row>
    <row r="28" spans="1:27" s="97" customFormat="1">
      <c r="Y28" s="97">
        <f>SUM(Y12:Y27)</f>
        <v>1</v>
      </c>
      <c r="Z28" s="97">
        <f>SUM(Z12:Z27)</f>
        <v>0</v>
      </c>
      <c r="AA28" s="97">
        <f>SUM(AA12:AA27)</f>
        <v>1</v>
      </c>
    </row>
    <row r="30" spans="1:27">
      <c r="A30" s="66" t="s">
        <v>114</v>
      </c>
      <c r="C30" s="57" t="s">
        <v>132</v>
      </c>
      <c r="E30" s="57" t="s">
        <v>133</v>
      </c>
      <c r="K30" s="57" t="s">
        <v>130</v>
      </c>
      <c r="R30" s="57" t="s">
        <v>134</v>
      </c>
      <c r="S30" s="57" t="s">
        <v>135</v>
      </c>
    </row>
    <row r="31" spans="1:27">
      <c r="A31" s="66"/>
      <c r="G31" s="153"/>
    </row>
    <row r="32" spans="1:27">
      <c r="A32" s="57" t="s">
        <v>116</v>
      </c>
      <c r="C32" s="57">
        <f>8*25.4</f>
        <v>203.2</v>
      </c>
      <c r="E32" s="57">
        <f>C6</f>
        <v>2.032</v>
      </c>
      <c r="K32" s="102">
        <v>25.4</v>
      </c>
    </row>
    <row r="33" spans="1:20">
      <c r="A33" s="57" t="s">
        <v>111</v>
      </c>
      <c r="C33" s="57">
        <f>MODE(C12:D27)</f>
        <v>204</v>
      </c>
      <c r="E33" s="57">
        <f>MODE(E12:J27)</f>
        <v>2</v>
      </c>
      <c r="G33" s="153"/>
      <c r="K33" s="57">
        <f>MODE(K12:L27)</f>
        <v>26.5</v>
      </c>
      <c r="R33" s="57" t="e">
        <f>MODE(R12:R27)</f>
        <v>#N/A</v>
      </c>
      <c r="S33" s="57" t="e">
        <f>MODE(S12:S27)</f>
        <v>#N/A</v>
      </c>
    </row>
    <row r="34" spans="1:20">
      <c r="A34" s="57" t="s">
        <v>110</v>
      </c>
      <c r="C34" s="121">
        <f>AVERAGE(C12:D27)</f>
        <v>203.96875</v>
      </c>
      <c r="D34" s="121"/>
      <c r="E34" s="65">
        <f>AVERAGE(E12:J27)</f>
        <v>1.9881249999999993</v>
      </c>
      <c r="K34" s="153">
        <f>AVERAGE(K12:L27)</f>
        <v>26.477499999999999</v>
      </c>
      <c r="R34" s="104">
        <f>AVERAGE(R12:R27)</f>
        <v>136.56249999999997</v>
      </c>
      <c r="S34" s="104">
        <f>AVERAGE(S12:S27)</f>
        <v>12.718993364446803</v>
      </c>
      <c r="T34" s="104"/>
    </row>
    <row r="35" spans="1:20">
      <c r="A35" s="57" t="s">
        <v>117</v>
      </c>
      <c r="C35" s="57">
        <f>STDEV(C17:D27)</f>
        <v>0</v>
      </c>
      <c r="E35" s="57">
        <f>STDEV(E12:J27)</f>
        <v>2.999342033109751E-2</v>
      </c>
      <c r="K35" s="57">
        <f>STDEV(K12:L27)</f>
        <v>0.29845840473141272</v>
      </c>
      <c r="R35" s="57">
        <f>STDEV(R12:R27)</f>
        <v>2.5139278695579477</v>
      </c>
      <c r="S35" s="57">
        <f>STDEV(S12:S27)</f>
        <v>0.14087300302609498</v>
      </c>
    </row>
    <row r="36" spans="1:20">
      <c r="A36" s="154" t="s">
        <v>118</v>
      </c>
      <c r="E36" s="65">
        <f>E34+E35</f>
        <v>2.0181184203310969</v>
      </c>
      <c r="K36" s="153">
        <f>K34+K35</f>
        <v>26.775958404731412</v>
      </c>
      <c r="R36" s="57">
        <f>R34+R35</f>
        <v>139.07642786955793</v>
      </c>
      <c r="S36" s="104">
        <f>S35+S34</f>
        <v>12.859866367472899</v>
      </c>
    </row>
    <row r="37" spans="1:20">
      <c r="A37" s="154" t="s">
        <v>119</v>
      </c>
      <c r="E37" s="65">
        <f>E34-E35</f>
        <v>1.9581315796689018</v>
      </c>
      <c r="K37" s="153">
        <f>K34-K35</f>
        <v>26.179041595268586</v>
      </c>
      <c r="R37" s="57">
        <f>R34-R35</f>
        <v>134.04857213044201</v>
      </c>
      <c r="S37" s="104">
        <f>S34-S35</f>
        <v>12.578120361420707</v>
      </c>
    </row>
    <row r="38" spans="1:20">
      <c r="A38" s="57" t="s">
        <v>124</v>
      </c>
      <c r="C38" s="153">
        <f>MAX(C12:D27)-C32</f>
        <v>0.80000000000001137</v>
      </c>
      <c r="E38" s="65">
        <f>MAX(E12:J27)-E32</f>
        <v>6.800000000000006E-2</v>
      </c>
      <c r="K38" s="153">
        <f>MAX(K12:L27)-$K32</f>
        <v>2.16</v>
      </c>
    </row>
    <row r="39" spans="1:20">
      <c r="A39" s="57" t="s">
        <v>125</v>
      </c>
      <c r="C39" s="153">
        <f>MIN(C12:D27)-C32</f>
        <v>-0.19999999999998863</v>
      </c>
      <c r="E39" s="65">
        <f>MIN(E12:J27)-E32</f>
        <v>-0.10200000000000009</v>
      </c>
      <c r="K39" s="153">
        <f>MIN(K12:L27)-K32</f>
        <v>0.65000000000000213</v>
      </c>
    </row>
    <row r="40" spans="1:20" ht="15.75" thickBot="1">
      <c r="B40" s="153"/>
      <c r="C40" s="153"/>
      <c r="D40" s="153"/>
      <c r="E40" s="153"/>
      <c r="F40" s="153"/>
      <c r="G40" s="153"/>
      <c r="H40" s="153"/>
      <c r="I40" s="153"/>
    </row>
    <row r="41" spans="1:20">
      <c r="A41" s="57" t="s">
        <v>146</v>
      </c>
      <c r="B41" s="153"/>
      <c r="C41" s="40" t="s">
        <v>147</v>
      </c>
      <c r="D41" s="40" t="s">
        <v>149</v>
      </c>
      <c r="E41" s="153"/>
    </row>
    <row r="42" spans="1:20">
      <c r="A42" s="57">
        <v>1.92</v>
      </c>
      <c r="B42" s="153"/>
      <c r="C42" s="123">
        <v>1.92</v>
      </c>
      <c r="D42" s="124">
        <v>0</v>
      </c>
      <c r="E42" s="153"/>
    </row>
    <row r="43" spans="1:20">
      <c r="A43" s="57">
        <v>1.93</v>
      </c>
      <c r="B43" s="153"/>
      <c r="C43" s="123">
        <v>1.93</v>
      </c>
      <c r="D43" s="124">
        <v>2</v>
      </c>
      <c r="E43" s="153"/>
    </row>
    <row r="44" spans="1:20">
      <c r="A44" s="57">
        <f>A43+0.01</f>
        <v>1.94</v>
      </c>
      <c r="B44" s="153"/>
      <c r="C44" s="123">
        <v>1.94</v>
      </c>
      <c r="D44" s="124">
        <v>3</v>
      </c>
      <c r="E44" s="153"/>
    </row>
    <row r="45" spans="1:20">
      <c r="A45" s="57">
        <f>A44+0.01</f>
        <v>1.95</v>
      </c>
      <c r="B45" s="153"/>
      <c r="C45" s="123">
        <v>1.95</v>
      </c>
      <c r="D45" s="124">
        <v>7</v>
      </c>
      <c r="E45" s="153"/>
    </row>
    <row r="46" spans="1:20">
      <c r="A46" s="57">
        <f t="shared" ref="A46:A61" si="6">A45+0.01</f>
        <v>1.96</v>
      </c>
      <c r="B46" s="153"/>
      <c r="C46" s="123">
        <v>1.96</v>
      </c>
      <c r="D46" s="124">
        <v>10</v>
      </c>
      <c r="E46" s="153"/>
    </row>
    <row r="47" spans="1:20">
      <c r="A47" s="57">
        <f t="shared" si="6"/>
        <v>1.97</v>
      </c>
      <c r="B47" s="153"/>
      <c r="C47" s="123">
        <v>1.97</v>
      </c>
      <c r="D47" s="124">
        <v>13</v>
      </c>
      <c r="E47" s="153"/>
    </row>
    <row r="48" spans="1:20">
      <c r="A48" s="57">
        <f t="shared" si="6"/>
        <v>1.98</v>
      </c>
      <c r="B48" s="153"/>
      <c r="C48" s="123">
        <v>1.98</v>
      </c>
      <c r="D48" s="124">
        <v>11</v>
      </c>
      <c r="E48" s="153"/>
    </row>
    <row r="49" spans="1:5">
      <c r="A49" s="57">
        <f t="shared" si="6"/>
        <v>1.99</v>
      </c>
      <c r="B49" s="153"/>
      <c r="C49" s="123">
        <v>1.99</v>
      </c>
      <c r="D49" s="124">
        <v>10</v>
      </c>
      <c r="E49" s="153"/>
    </row>
    <row r="50" spans="1:5">
      <c r="A50" s="57">
        <f t="shared" si="6"/>
        <v>2</v>
      </c>
      <c r="B50" s="153"/>
      <c r="C50" s="123">
        <v>2</v>
      </c>
      <c r="D50" s="124">
        <v>17</v>
      </c>
      <c r="E50" s="153"/>
    </row>
    <row r="51" spans="1:5">
      <c r="A51" s="57">
        <f>A50+0.01</f>
        <v>2.0099999999999998</v>
      </c>
      <c r="B51" s="153"/>
      <c r="C51" s="123">
        <v>2.0099999999999998</v>
      </c>
      <c r="D51" s="124">
        <v>9</v>
      </c>
      <c r="E51" s="153"/>
    </row>
    <row r="52" spans="1:5">
      <c r="A52" s="57">
        <f t="shared" si="6"/>
        <v>2.0199999999999996</v>
      </c>
      <c r="B52" s="153"/>
      <c r="C52" s="123">
        <v>2.0199999999999996</v>
      </c>
      <c r="D52" s="124">
        <v>0</v>
      </c>
      <c r="E52" s="153"/>
    </row>
    <row r="53" spans="1:5">
      <c r="A53" s="57">
        <f t="shared" si="6"/>
        <v>2.0299999999999994</v>
      </c>
      <c r="B53" s="153"/>
      <c r="C53" s="123">
        <v>2.0299999999999994</v>
      </c>
      <c r="D53" s="124">
        <v>2</v>
      </c>
      <c r="E53" s="153"/>
    </row>
    <row r="54" spans="1:5">
      <c r="A54" s="57">
        <f t="shared" si="6"/>
        <v>2.0399999999999991</v>
      </c>
      <c r="B54" s="153"/>
      <c r="C54" s="123">
        <v>2.0399999999999991</v>
      </c>
      <c r="D54" s="124">
        <v>6</v>
      </c>
      <c r="E54" s="153"/>
    </row>
    <row r="55" spans="1:5">
      <c r="A55" s="57">
        <f t="shared" si="6"/>
        <v>2.0499999999999989</v>
      </c>
      <c r="B55" s="153"/>
      <c r="C55" s="123">
        <v>2.0499999999999989</v>
      </c>
      <c r="D55" s="124">
        <v>2</v>
      </c>
      <c r="E55" s="153"/>
    </row>
    <row r="56" spans="1:5">
      <c r="A56" s="57">
        <f t="shared" si="6"/>
        <v>2.0599999999999987</v>
      </c>
      <c r="B56" s="153"/>
      <c r="C56" s="123">
        <v>2.0599999999999987</v>
      </c>
      <c r="D56" s="124">
        <v>3</v>
      </c>
      <c r="E56" s="153"/>
    </row>
    <row r="57" spans="1:5">
      <c r="A57" s="57">
        <f t="shared" si="6"/>
        <v>2.0699999999999985</v>
      </c>
      <c r="B57" s="153"/>
      <c r="C57" s="123">
        <v>2.0699999999999985</v>
      </c>
      <c r="D57" s="124">
        <v>0</v>
      </c>
      <c r="E57" s="153"/>
    </row>
    <row r="58" spans="1:5">
      <c r="A58" s="57">
        <f t="shared" si="6"/>
        <v>2.0799999999999983</v>
      </c>
      <c r="C58" s="123">
        <v>2.0799999999999983</v>
      </c>
      <c r="D58" s="124">
        <v>0</v>
      </c>
    </row>
    <row r="59" spans="1:5">
      <c r="A59" s="57">
        <f t="shared" si="6"/>
        <v>2.0899999999999981</v>
      </c>
      <c r="C59" s="123">
        <v>2.0899999999999981</v>
      </c>
      <c r="D59" s="124">
        <v>0</v>
      </c>
    </row>
    <row r="60" spans="1:5">
      <c r="A60" s="57">
        <f t="shared" si="6"/>
        <v>2.0999999999999979</v>
      </c>
      <c r="C60" s="123">
        <v>2.0999999999999979</v>
      </c>
      <c r="D60" s="124">
        <v>0</v>
      </c>
    </row>
    <row r="61" spans="1:5">
      <c r="A61" s="57">
        <f t="shared" si="6"/>
        <v>2.1099999999999977</v>
      </c>
      <c r="C61" s="123">
        <v>2.1099999999999977</v>
      </c>
      <c r="D61" s="124">
        <v>1</v>
      </c>
    </row>
    <row r="62" spans="1:5" ht="15.75" thickBot="1">
      <c r="C62" s="125" t="s">
        <v>148</v>
      </c>
      <c r="D62" s="125">
        <v>0</v>
      </c>
    </row>
  </sheetData>
  <sortState ref="C42:C61">
    <sortCondition ref="C42"/>
  </sortState>
  <mergeCells count="4">
    <mergeCell ref="C9:D9"/>
    <mergeCell ref="E9:I9"/>
    <mergeCell ref="K9:L9"/>
    <mergeCell ref="M9:P9"/>
  </mergeCells>
  <pageMargins left="0.25" right="0.25" top="0.25" bottom="0.25" header="0.3" footer="0.3"/>
  <pageSetup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B50"/>
  <sheetViews>
    <sheetView zoomScale="70" zoomScaleNormal="70" workbookViewId="0">
      <selection activeCell="AC27" sqref="AC27"/>
    </sheetView>
  </sheetViews>
  <sheetFormatPr defaultRowHeight="15"/>
  <cols>
    <col min="1" max="1" width="6.28515625" style="57" customWidth="1"/>
    <col min="2" max="2" width="16.140625" style="57" customWidth="1"/>
    <col min="3" max="4" width="5.140625" style="57" customWidth="1"/>
    <col min="5" max="9" width="6.85546875" style="57" customWidth="1"/>
    <col min="10" max="10" width="6.85546875" style="57" bestFit="1" customWidth="1"/>
    <col min="11" max="12" width="6.85546875" style="57" customWidth="1"/>
    <col min="13" max="16" width="3.7109375" style="57" customWidth="1"/>
    <col min="17" max="17" width="6.28515625" style="57" customWidth="1"/>
    <col min="18" max="18" width="7" style="57" customWidth="1"/>
    <col min="19" max="19" width="5.140625" style="57" customWidth="1"/>
    <col min="20" max="20" width="9.85546875" style="57" customWidth="1"/>
    <col min="21" max="16384" width="9.140625" style="57"/>
  </cols>
  <sheetData>
    <row r="1" spans="1:28">
      <c r="A1" s="57" t="s">
        <v>0</v>
      </c>
      <c r="B1" s="52"/>
    </row>
    <row r="2" spans="1:28">
      <c r="A2" s="57" t="s">
        <v>1</v>
      </c>
      <c r="B2" s="52"/>
    </row>
    <row r="3" spans="1:28">
      <c r="A3" s="57" t="s">
        <v>58</v>
      </c>
      <c r="B3" s="52"/>
    </row>
    <row r="4" spans="1:28">
      <c r="B4" s="52"/>
    </row>
    <row r="5" spans="1:28">
      <c r="B5" s="57" t="s">
        <v>112</v>
      </c>
      <c r="C5" s="57" t="s">
        <v>113</v>
      </c>
    </row>
    <row r="6" spans="1:28">
      <c r="A6" s="57" t="s">
        <v>86</v>
      </c>
      <c r="B6" s="66">
        <v>0.125</v>
      </c>
      <c r="C6" s="57">
        <f>B6*25.4</f>
        <v>3.1749999999999998</v>
      </c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104"/>
      <c r="S6" s="104"/>
      <c r="T6" s="104"/>
    </row>
    <row r="7" spans="1:28">
      <c r="B7" s="6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104"/>
      <c r="S7" s="104"/>
      <c r="T7" s="104"/>
    </row>
    <row r="8" spans="1:28">
      <c r="A8" s="57" t="s">
        <v>115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104"/>
      <c r="S8" s="104"/>
      <c r="T8" s="104"/>
      <c r="W8" s="100" t="s">
        <v>157</v>
      </c>
      <c r="Y8" s="100"/>
    </row>
    <row r="9" spans="1:28" ht="45">
      <c r="A9" s="111" t="s">
        <v>216</v>
      </c>
      <c r="B9" s="128" t="s">
        <v>60</v>
      </c>
      <c r="C9" s="767" t="s">
        <v>61</v>
      </c>
      <c r="D9" s="768"/>
      <c r="E9" s="766" t="s">
        <v>62</v>
      </c>
      <c r="F9" s="766"/>
      <c r="G9" s="766"/>
      <c r="H9" s="766"/>
      <c r="I9" s="766"/>
      <c r="J9" s="129"/>
      <c r="K9" s="767" t="s">
        <v>63</v>
      </c>
      <c r="L9" s="768"/>
      <c r="M9" s="767" t="s">
        <v>64</v>
      </c>
      <c r="N9" s="765"/>
      <c r="O9" s="765"/>
      <c r="P9" s="765"/>
      <c r="Q9" s="130" t="s">
        <v>91</v>
      </c>
      <c r="R9" s="39" t="s">
        <v>220</v>
      </c>
      <c r="S9" s="228" t="s">
        <v>221</v>
      </c>
      <c r="T9" s="152" t="s">
        <v>101</v>
      </c>
      <c r="V9" s="152" t="s">
        <v>216</v>
      </c>
      <c r="W9" s="46" t="s">
        <v>631</v>
      </c>
      <c r="X9" s="133" t="s">
        <v>123</v>
      </c>
      <c r="Y9" s="134" t="s">
        <v>155</v>
      </c>
      <c r="Z9" s="152" t="s">
        <v>196</v>
      </c>
      <c r="AA9" s="252" t="s">
        <v>223</v>
      </c>
      <c r="AB9" s="252" t="s">
        <v>628</v>
      </c>
    </row>
    <row r="10" spans="1:28">
      <c r="A10" s="97"/>
      <c r="B10" s="255"/>
      <c r="C10" s="256">
        <v>1</v>
      </c>
      <c r="D10" s="255">
        <v>2</v>
      </c>
      <c r="E10" s="256">
        <v>1</v>
      </c>
      <c r="F10" s="199">
        <v>2</v>
      </c>
      <c r="G10" s="199">
        <v>3</v>
      </c>
      <c r="H10" s="199">
        <v>4</v>
      </c>
      <c r="I10" s="199">
        <v>5</v>
      </c>
      <c r="J10" s="255">
        <v>6</v>
      </c>
      <c r="K10" s="256">
        <v>1</v>
      </c>
      <c r="L10" s="255">
        <v>2</v>
      </c>
      <c r="M10" s="256">
        <v>1</v>
      </c>
      <c r="N10" s="199">
        <v>2</v>
      </c>
      <c r="O10" s="199">
        <v>3</v>
      </c>
      <c r="P10" s="199">
        <v>4</v>
      </c>
      <c r="Q10" s="255"/>
      <c r="R10" s="262"/>
      <c r="S10" s="263"/>
      <c r="T10" s="143"/>
      <c r="V10" s="143"/>
      <c r="W10" s="143"/>
      <c r="X10" s="142"/>
      <c r="Y10" s="138"/>
      <c r="Z10" s="138"/>
      <c r="AA10" s="143"/>
    </row>
    <row r="11" spans="1:28">
      <c r="A11" s="66"/>
      <c r="B11" s="159"/>
      <c r="C11" s="60"/>
      <c r="D11" s="159"/>
      <c r="E11" s="233"/>
      <c r="F11" s="71"/>
      <c r="G11" s="71"/>
      <c r="H11" s="71"/>
      <c r="I11" s="71"/>
      <c r="J11" s="234"/>
      <c r="K11" s="60"/>
      <c r="L11" s="159"/>
      <c r="M11" s="60"/>
      <c r="N11" s="61"/>
      <c r="O11" s="61"/>
      <c r="P11" s="61"/>
      <c r="Q11" s="159"/>
      <c r="R11" s="145"/>
      <c r="S11" s="141"/>
      <c r="T11" s="143"/>
      <c r="V11" s="143"/>
      <c r="W11" s="143"/>
      <c r="X11" s="142"/>
      <c r="Y11" s="143"/>
      <c r="Z11" s="143"/>
      <c r="AA11" s="143"/>
    </row>
    <row r="12" spans="1:28">
      <c r="A12" s="66">
        <v>1</v>
      </c>
      <c r="B12" s="159"/>
      <c r="C12" s="257">
        <v>206</v>
      </c>
      <c r="D12" s="54">
        <v>206</v>
      </c>
      <c r="E12" s="233">
        <v>3.42</v>
      </c>
      <c r="F12" s="71">
        <v>3.43</v>
      </c>
      <c r="G12" s="71">
        <v>3.45</v>
      </c>
      <c r="H12" s="71">
        <v>3.44</v>
      </c>
      <c r="I12" s="71">
        <v>3.42</v>
      </c>
      <c r="J12" s="234">
        <v>3.42</v>
      </c>
      <c r="K12" s="72">
        <v>25.66</v>
      </c>
      <c r="L12" s="73">
        <v>25.65</v>
      </c>
      <c r="M12" s="60"/>
      <c r="N12" s="61"/>
      <c r="O12" s="61"/>
      <c r="P12" s="61"/>
      <c r="Q12" s="286" t="s">
        <v>94</v>
      </c>
      <c r="R12" s="145">
        <v>261.7</v>
      </c>
      <c r="S12" s="141">
        <f t="shared" ref="S12:S22" si="0">R12/(AVERAGE(C12,D12)*AVERAGE(E12:J12)*AVERAGE(K12:L12)*0.001)</f>
        <v>14.436780826481042</v>
      </c>
      <c r="T12" s="143">
        <v>2</v>
      </c>
      <c r="V12" s="143">
        <v>1</v>
      </c>
      <c r="W12" s="249">
        <f>MAX(E12:J12)-MIN(E12:J12)</f>
        <v>3.0000000000000249E-2</v>
      </c>
      <c r="X12" s="143">
        <f t="shared" ref="X12:X22" si="1">IF(OR(ABS(E12-$C$6)&gt;($C$6*0.1),ABS(F12-$C$6)&gt;($C$6*0.1),ABS(G12-$C$6)&gt;($C$6*0.1),ABS(H12-$C$6)&gt;($C$6*0.1),ABS(I12-$C$6)&gt;($C$6*0.1),ABS(J12-$C$6)&gt;($C$6*0.1)),1,0)</f>
        <v>0</v>
      </c>
      <c r="Y12" s="143">
        <f>IF(OR(K12&gt;Cuts!$B$16, L12&gt;Cuts!B$16), 1,0)</f>
        <v>0</v>
      </c>
      <c r="Z12" s="246">
        <f>IF(OR(C12&gt;Cuts!$C$16, D12&gt;Cuts!$C$16),1,0)</f>
        <v>0</v>
      </c>
      <c r="AA12" s="143">
        <f>IF(OR(M12="Y",N12="Y",O12="Y",P12="Y"),1,0)</f>
        <v>0</v>
      </c>
    </row>
    <row r="13" spans="1:28">
      <c r="A13" s="66">
        <f>A12+1</f>
        <v>2</v>
      </c>
      <c r="B13" s="159"/>
      <c r="C13" s="257">
        <v>206</v>
      </c>
      <c r="D13" s="54">
        <v>206</v>
      </c>
      <c r="E13" s="233">
        <v>3.43</v>
      </c>
      <c r="F13" s="71">
        <v>3.43</v>
      </c>
      <c r="G13" s="71">
        <v>3.46</v>
      </c>
      <c r="H13" s="71">
        <v>3.44</v>
      </c>
      <c r="I13" s="71">
        <v>3.44</v>
      </c>
      <c r="J13" s="234">
        <v>3.43</v>
      </c>
      <c r="K13" s="72">
        <v>25.64</v>
      </c>
      <c r="L13" s="73">
        <v>25.64</v>
      </c>
      <c r="M13" s="60"/>
      <c r="N13" s="61"/>
      <c r="O13" s="61"/>
      <c r="P13" s="61"/>
      <c r="Q13" s="286" t="s">
        <v>94</v>
      </c>
      <c r="R13" s="145">
        <v>262.10000000000002</v>
      </c>
      <c r="S13" s="141">
        <f t="shared" si="0"/>
        <v>14.432241987616809</v>
      </c>
      <c r="T13" s="143">
        <v>2</v>
      </c>
      <c r="V13" s="143">
        <f>V12+1</f>
        <v>2</v>
      </c>
      <c r="W13" s="249">
        <f t="shared" ref="W13:W22" si="2">MAX(E13:J13)-MIN(E13:J13)</f>
        <v>2.9999999999999805E-2</v>
      </c>
      <c r="X13" s="143">
        <f t="shared" si="1"/>
        <v>0</v>
      </c>
      <c r="Y13" s="143">
        <f>IF(OR(K13&gt;Cuts!$B$16, L13&gt;Cuts!B$16), 1,0)</f>
        <v>0</v>
      </c>
      <c r="Z13" s="246">
        <f>IF(OR(C13&gt;Cuts!$C$16, D13&gt;Cuts!$C$16),1,0)</f>
        <v>0</v>
      </c>
      <c r="AA13" s="143">
        <f t="shared" ref="AA13:AA22" si="3">IF(OR(M13="Y",N13="Y",O13="Y",P13="Y"),1,0)</f>
        <v>0</v>
      </c>
    </row>
    <row r="14" spans="1:28">
      <c r="A14" s="66">
        <f t="shared" ref="A14:A22" si="4">A13+1</f>
        <v>3</v>
      </c>
      <c r="B14" s="159"/>
      <c r="C14" s="257">
        <v>206</v>
      </c>
      <c r="D14" s="54">
        <v>206</v>
      </c>
      <c r="E14" s="233">
        <v>3.44</v>
      </c>
      <c r="F14" s="71">
        <v>3.44</v>
      </c>
      <c r="G14" s="71">
        <v>3.45</v>
      </c>
      <c r="H14" s="71">
        <v>3.45</v>
      </c>
      <c r="I14" s="71">
        <v>3.42</v>
      </c>
      <c r="J14" s="234">
        <v>3.41</v>
      </c>
      <c r="K14" s="72">
        <v>25.68</v>
      </c>
      <c r="L14" s="73">
        <v>25.68</v>
      </c>
      <c r="M14" s="60"/>
      <c r="N14" s="61"/>
      <c r="O14" s="61"/>
      <c r="P14" s="61"/>
      <c r="Q14" s="286" t="s">
        <v>94</v>
      </c>
      <c r="R14" s="145">
        <v>260.89999999999998</v>
      </c>
      <c r="S14" s="141">
        <f t="shared" si="0"/>
        <v>14.357707382417251</v>
      </c>
      <c r="T14" s="143">
        <v>2</v>
      </c>
      <c r="V14" s="143">
        <f t="shared" ref="V14:V22" si="5">V13+1</f>
        <v>3</v>
      </c>
      <c r="W14" s="249">
        <f t="shared" si="2"/>
        <v>4.0000000000000036E-2</v>
      </c>
      <c r="X14" s="143">
        <f t="shared" si="1"/>
        <v>0</v>
      </c>
      <c r="Y14" s="143">
        <f>IF(OR(K14&gt;Cuts!$B$16, L14&gt;Cuts!B$16), 1,0)</f>
        <v>0</v>
      </c>
      <c r="Z14" s="246">
        <f>IF(OR(C14&gt;Cuts!$C$16, D14&gt;Cuts!$C$16),1,0)</f>
        <v>0</v>
      </c>
      <c r="AA14" s="143">
        <f t="shared" si="3"/>
        <v>0</v>
      </c>
    </row>
    <row r="15" spans="1:28">
      <c r="A15" s="66">
        <f t="shared" si="4"/>
        <v>4</v>
      </c>
      <c r="B15" s="159"/>
      <c r="C15" s="257">
        <v>206</v>
      </c>
      <c r="D15" s="54">
        <v>206</v>
      </c>
      <c r="E15" s="233">
        <v>3.37</v>
      </c>
      <c r="F15" s="71">
        <v>3.38</v>
      </c>
      <c r="G15" s="71">
        <v>3.39</v>
      </c>
      <c r="H15" s="71">
        <v>3.38</v>
      </c>
      <c r="I15" s="71">
        <v>3.36</v>
      </c>
      <c r="J15" s="234">
        <v>3.37</v>
      </c>
      <c r="K15" s="72">
        <v>25.66</v>
      </c>
      <c r="L15" s="73">
        <v>25.66</v>
      </c>
      <c r="M15" s="60"/>
      <c r="N15" s="61"/>
      <c r="O15" s="61"/>
      <c r="P15" s="61"/>
      <c r="Q15" s="286" t="s">
        <v>93</v>
      </c>
      <c r="R15" s="145">
        <v>258.7</v>
      </c>
      <c r="S15" s="141">
        <f t="shared" si="0"/>
        <v>14.501027599878139</v>
      </c>
      <c r="T15" s="143">
        <v>2</v>
      </c>
      <c r="V15" s="143">
        <f t="shared" si="5"/>
        <v>4</v>
      </c>
      <c r="W15" s="249">
        <f t="shared" si="2"/>
        <v>3.0000000000000249E-2</v>
      </c>
      <c r="X15" s="143">
        <f t="shared" si="1"/>
        <v>0</v>
      </c>
      <c r="Y15" s="143">
        <f>IF(OR(K15&gt;Cuts!$B$16, L15&gt;Cuts!B$16), 1,0)</f>
        <v>0</v>
      </c>
      <c r="Z15" s="246">
        <f>IF(OR(C15&gt;Cuts!$C$16, D15&gt;Cuts!$C$16),1,0)</f>
        <v>0</v>
      </c>
      <c r="AA15" s="143">
        <f t="shared" si="3"/>
        <v>0</v>
      </c>
    </row>
    <row r="16" spans="1:28">
      <c r="A16" s="66">
        <f t="shared" si="4"/>
        <v>5</v>
      </c>
      <c r="B16" s="159"/>
      <c r="C16" s="257">
        <v>206</v>
      </c>
      <c r="D16" s="54">
        <v>206</v>
      </c>
      <c r="E16" s="233">
        <v>3.43</v>
      </c>
      <c r="F16" s="71">
        <v>3.43</v>
      </c>
      <c r="G16" s="71">
        <v>3.44</v>
      </c>
      <c r="H16" s="71">
        <v>3.44</v>
      </c>
      <c r="I16" s="71">
        <v>3.43</v>
      </c>
      <c r="J16" s="234">
        <v>3.43</v>
      </c>
      <c r="K16" s="72">
        <v>25.67</v>
      </c>
      <c r="L16" s="73">
        <v>25.68</v>
      </c>
      <c r="M16" s="60"/>
      <c r="N16" s="61"/>
      <c r="O16" s="61"/>
      <c r="P16" s="61"/>
      <c r="Q16" s="288"/>
      <c r="R16" s="145">
        <v>261.8</v>
      </c>
      <c r="S16" s="141">
        <f t="shared" si="0"/>
        <v>14.417036553722504</v>
      </c>
      <c r="T16" s="143">
        <v>2</v>
      </c>
      <c r="V16" s="143">
        <f t="shared" si="5"/>
        <v>5</v>
      </c>
      <c r="W16" s="249">
        <f t="shared" si="2"/>
        <v>9.9999999999997868E-3</v>
      </c>
      <c r="X16" s="143">
        <f t="shared" si="1"/>
        <v>0</v>
      </c>
      <c r="Y16" s="143">
        <f>IF(OR(K16&gt;Cuts!$B$16, L16&gt;Cuts!B$16), 1,0)</f>
        <v>0</v>
      </c>
      <c r="Z16" s="246">
        <f>IF(OR(C16&gt;Cuts!$C$16, D16&gt;Cuts!$C$16),1,0)</f>
        <v>0</v>
      </c>
      <c r="AA16" s="143">
        <f t="shared" si="3"/>
        <v>0</v>
      </c>
    </row>
    <row r="17" spans="1:28">
      <c r="A17" s="66">
        <f t="shared" si="4"/>
        <v>6</v>
      </c>
      <c r="B17" s="159"/>
      <c r="C17" s="257">
        <v>206</v>
      </c>
      <c r="D17" s="54">
        <v>206</v>
      </c>
      <c r="E17" s="233">
        <v>3.37</v>
      </c>
      <c r="F17" s="71">
        <v>3.37</v>
      </c>
      <c r="G17" s="71">
        <v>3.37</v>
      </c>
      <c r="H17" s="71">
        <v>3.37</v>
      </c>
      <c r="I17" s="71">
        <v>3.37</v>
      </c>
      <c r="J17" s="234">
        <v>3.37</v>
      </c>
      <c r="K17" s="72">
        <v>25.6</v>
      </c>
      <c r="L17" s="73">
        <v>25.64</v>
      </c>
      <c r="M17" s="60"/>
      <c r="N17" s="61"/>
      <c r="O17" s="61"/>
      <c r="P17" s="61"/>
      <c r="Q17" s="286" t="s">
        <v>94</v>
      </c>
      <c r="R17" s="145">
        <v>259.10000000000002</v>
      </c>
      <c r="S17" s="141">
        <f t="shared" si="0"/>
        <v>14.567705940639637</v>
      </c>
      <c r="T17" s="143">
        <v>2</v>
      </c>
      <c r="V17" s="143">
        <f t="shared" si="5"/>
        <v>6</v>
      </c>
      <c r="W17" s="249">
        <f t="shared" si="2"/>
        <v>0</v>
      </c>
      <c r="X17" s="143">
        <f t="shared" si="1"/>
        <v>0</v>
      </c>
      <c r="Y17" s="143">
        <f>IF(OR(K17&gt;Cuts!$B$16, L17&gt;Cuts!B$16), 1,0)</f>
        <v>0</v>
      </c>
      <c r="Z17" s="246">
        <f>IF(OR(C17&gt;Cuts!$C$16, D17&gt;Cuts!$C$16),1,0)</f>
        <v>0</v>
      </c>
      <c r="AA17" s="143">
        <f t="shared" si="3"/>
        <v>0</v>
      </c>
    </row>
    <row r="18" spans="1:28">
      <c r="A18" s="66">
        <f t="shared" si="4"/>
        <v>7</v>
      </c>
      <c r="B18" s="159"/>
      <c r="C18" s="257">
        <v>206</v>
      </c>
      <c r="D18" s="54">
        <v>206</v>
      </c>
      <c r="E18" s="233">
        <v>3.42</v>
      </c>
      <c r="F18" s="71">
        <v>3.43</v>
      </c>
      <c r="G18" s="71">
        <v>3.46</v>
      </c>
      <c r="H18" s="71">
        <v>3.46</v>
      </c>
      <c r="I18" s="71">
        <v>3.41</v>
      </c>
      <c r="J18" s="234">
        <v>3.42</v>
      </c>
      <c r="K18" s="72">
        <v>25.65</v>
      </c>
      <c r="L18" s="73">
        <v>25.74</v>
      </c>
      <c r="M18" s="60"/>
      <c r="N18" s="61"/>
      <c r="O18" s="61"/>
      <c r="P18" s="61"/>
      <c r="Q18" s="159"/>
      <c r="R18" s="145">
        <v>261.39999999999998</v>
      </c>
      <c r="S18" s="141">
        <f t="shared" si="0"/>
        <v>14.383804474463707</v>
      </c>
      <c r="T18" s="143">
        <v>2</v>
      </c>
      <c r="V18" s="143">
        <f t="shared" si="5"/>
        <v>7</v>
      </c>
      <c r="W18" s="249">
        <f t="shared" si="2"/>
        <v>4.9999999999999822E-2</v>
      </c>
      <c r="X18" s="143">
        <f t="shared" si="1"/>
        <v>0</v>
      </c>
      <c r="Y18" s="143">
        <f>IF(OR(K18&gt;Cuts!$B$16, L18&gt;Cuts!B$16), 1,0)</f>
        <v>0</v>
      </c>
      <c r="Z18" s="246">
        <f>IF(OR(C18&gt;Cuts!$C$16, D18&gt;Cuts!$C$16),1,0)</f>
        <v>0</v>
      </c>
      <c r="AA18" s="143">
        <f t="shared" si="3"/>
        <v>0</v>
      </c>
    </row>
    <row r="19" spans="1:28">
      <c r="A19" s="66">
        <f t="shared" si="4"/>
        <v>8</v>
      </c>
      <c r="B19" s="159"/>
      <c r="C19" s="257">
        <v>206</v>
      </c>
      <c r="D19" s="54">
        <v>206</v>
      </c>
      <c r="E19" s="233">
        <v>3.43</v>
      </c>
      <c r="F19" s="71">
        <v>3.43</v>
      </c>
      <c r="G19" s="71">
        <v>3.46</v>
      </c>
      <c r="H19" s="71">
        <v>3.45</v>
      </c>
      <c r="I19" s="71">
        <v>3.42</v>
      </c>
      <c r="J19" s="234">
        <v>3.42</v>
      </c>
      <c r="K19" s="72">
        <v>25.67</v>
      </c>
      <c r="L19" s="73">
        <v>25.67</v>
      </c>
      <c r="M19" s="60"/>
      <c r="N19" s="61"/>
      <c r="O19" s="61"/>
      <c r="P19" s="61"/>
      <c r="Q19" s="159"/>
      <c r="R19" s="145">
        <v>262.5</v>
      </c>
      <c r="S19" s="141">
        <f t="shared" si="0"/>
        <v>14.451385201606485</v>
      </c>
      <c r="T19" s="143">
        <v>2</v>
      </c>
      <c r="V19" s="143">
        <f t="shared" si="5"/>
        <v>8</v>
      </c>
      <c r="W19" s="249">
        <f t="shared" si="2"/>
        <v>4.0000000000000036E-2</v>
      </c>
      <c r="X19" s="143">
        <f t="shared" si="1"/>
        <v>0</v>
      </c>
      <c r="Y19" s="143">
        <f>IF(OR(K19&gt;Cuts!$B$16, L19&gt;Cuts!B$16), 1,0)</f>
        <v>0</v>
      </c>
      <c r="Z19" s="246">
        <f>IF(OR(C19&gt;Cuts!$C$16, D19&gt;Cuts!$C$16),1,0)</f>
        <v>0</v>
      </c>
      <c r="AA19" s="143">
        <f t="shared" si="3"/>
        <v>0</v>
      </c>
    </row>
    <row r="20" spans="1:28">
      <c r="A20" s="66">
        <f t="shared" si="4"/>
        <v>9</v>
      </c>
      <c r="B20" s="159"/>
      <c r="C20" s="257">
        <v>206</v>
      </c>
      <c r="D20" s="54">
        <v>206</v>
      </c>
      <c r="E20" s="233">
        <v>3.42</v>
      </c>
      <c r="F20" s="71">
        <v>3.42</v>
      </c>
      <c r="G20" s="71">
        <v>3.45</v>
      </c>
      <c r="H20" s="71">
        <v>3.45</v>
      </c>
      <c r="I20" s="71">
        <v>3.43</v>
      </c>
      <c r="J20" s="234">
        <v>3.44</v>
      </c>
      <c r="K20" s="72">
        <v>25.68</v>
      </c>
      <c r="L20" s="73">
        <v>25.67</v>
      </c>
      <c r="M20" s="60"/>
      <c r="N20" s="61"/>
      <c r="O20" s="61"/>
      <c r="P20" s="61"/>
      <c r="Q20" s="159"/>
      <c r="R20" s="145">
        <v>261.89999999999998</v>
      </c>
      <c r="S20" s="141">
        <f t="shared" si="0"/>
        <v>14.415545605489861</v>
      </c>
      <c r="T20" s="143">
        <v>2</v>
      </c>
      <c r="V20" s="143">
        <f t="shared" si="5"/>
        <v>9</v>
      </c>
      <c r="W20" s="249">
        <f t="shared" si="2"/>
        <v>3.0000000000000249E-2</v>
      </c>
      <c r="X20" s="143">
        <f t="shared" si="1"/>
        <v>0</v>
      </c>
      <c r="Y20" s="143">
        <f>IF(OR(K20&gt;Cuts!$B$16, L20&gt;Cuts!B$16), 1,0)</f>
        <v>0</v>
      </c>
      <c r="Z20" s="246">
        <f>IF(OR(C20&gt;Cuts!$C$16, D20&gt;Cuts!$C$16),1,0)</f>
        <v>0</v>
      </c>
      <c r="AA20" s="143">
        <f t="shared" si="3"/>
        <v>0</v>
      </c>
    </row>
    <row r="21" spans="1:28">
      <c r="A21" s="171">
        <f t="shared" si="4"/>
        <v>10</v>
      </c>
      <c r="B21" s="159"/>
      <c r="C21" s="257">
        <v>205</v>
      </c>
      <c r="D21" s="54">
        <v>205</v>
      </c>
      <c r="E21" s="233">
        <v>3.45</v>
      </c>
      <c r="F21" s="71">
        <v>3.45</v>
      </c>
      <c r="G21" s="71">
        <v>3.45</v>
      </c>
      <c r="H21" s="71">
        <v>3.46</v>
      </c>
      <c r="I21" s="71">
        <v>3.41</v>
      </c>
      <c r="J21" s="234">
        <v>3.42</v>
      </c>
      <c r="K21" s="72">
        <v>25.68</v>
      </c>
      <c r="L21" s="73">
        <v>25.62</v>
      </c>
      <c r="M21" s="60"/>
      <c r="N21" s="61"/>
      <c r="O21" s="61"/>
      <c r="P21" s="61"/>
      <c r="Q21" s="159"/>
      <c r="R21" s="145">
        <v>261</v>
      </c>
      <c r="S21" s="141">
        <f t="shared" si="0"/>
        <v>14.42915285946005</v>
      </c>
      <c r="T21" s="143">
        <v>2</v>
      </c>
      <c r="V21" s="265">
        <f t="shared" si="5"/>
        <v>10</v>
      </c>
      <c r="W21" s="249">
        <f t="shared" si="2"/>
        <v>4.9999999999999822E-2</v>
      </c>
      <c r="X21" s="143">
        <f t="shared" si="1"/>
        <v>0</v>
      </c>
      <c r="Y21" s="143">
        <f>IF(OR(K21&gt;Cuts!$B$16, L21&gt;Cuts!B$16), 1,0)</f>
        <v>0</v>
      </c>
      <c r="Z21" s="246">
        <f>IF(OR(C21&gt;Cuts!$C$16, D21&gt;Cuts!$C$16),1,0)</f>
        <v>0</v>
      </c>
      <c r="AA21" s="143">
        <f t="shared" si="3"/>
        <v>0</v>
      </c>
      <c r="AB21" t="s">
        <v>641</v>
      </c>
    </row>
    <row r="22" spans="1:28">
      <c r="A22" s="111">
        <f t="shared" si="4"/>
        <v>11</v>
      </c>
      <c r="B22" s="281"/>
      <c r="C22" s="258">
        <v>205</v>
      </c>
      <c r="D22" s="259">
        <v>205</v>
      </c>
      <c r="E22" s="293">
        <v>3.44</v>
      </c>
      <c r="F22" s="129">
        <v>3.44</v>
      </c>
      <c r="G22" s="129">
        <v>3.46</v>
      </c>
      <c r="H22" s="129">
        <v>3.45</v>
      </c>
      <c r="I22" s="129">
        <v>3.42</v>
      </c>
      <c r="J22" s="254">
        <v>3.42</v>
      </c>
      <c r="K22" s="88">
        <v>25.65</v>
      </c>
      <c r="L22" s="89">
        <v>25.62</v>
      </c>
      <c r="M22" s="303"/>
      <c r="N22" s="128"/>
      <c r="O22" s="128"/>
      <c r="P22" s="128"/>
      <c r="Q22" s="281"/>
      <c r="R22" s="151">
        <v>259.89999999999998</v>
      </c>
      <c r="S22" s="131">
        <f t="shared" si="0"/>
        <v>14.383716647644603</v>
      </c>
      <c r="T22" s="152">
        <v>2</v>
      </c>
      <c r="V22" s="152">
        <f t="shared" si="5"/>
        <v>11</v>
      </c>
      <c r="W22" s="249">
        <f t="shared" si="2"/>
        <v>4.0000000000000036E-2</v>
      </c>
      <c r="X22" s="152">
        <f t="shared" si="1"/>
        <v>0</v>
      </c>
      <c r="Y22" s="152">
        <f>IF(OR(K22&gt;Cuts!$B$16, L22&gt;Cuts!B$16), 1,0)</f>
        <v>0</v>
      </c>
      <c r="Z22" s="248">
        <f>IF(OR(C22&gt;Cuts!$C$16, D22&gt;Cuts!$C$16),1,0)</f>
        <v>0</v>
      </c>
      <c r="AA22" s="152">
        <f t="shared" si="3"/>
        <v>0</v>
      </c>
    </row>
    <row r="23" spans="1:28" s="97" customFormat="1">
      <c r="Y23" s="97">
        <f>SUM(Y12:Y22)</f>
        <v>0</v>
      </c>
      <c r="Z23" s="97">
        <f>SUM(Z12:Z22)</f>
        <v>0</v>
      </c>
      <c r="AA23" s="97">
        <f>SUM(AA12:AA22)</f>
        <v>0</v>
      </c>
    </row>
    <row r="25" spans="1:28">
      <c r="A25" s="66" t="s">
        <v>114</v>
      </c>
      <c r="C25" s="57" t="s">
        <v>132</v>
      </c>
      <c r="E25" s="57" t="s">
        <v>133</v>
      </c>
      <c r="K25" s="57" t="s">
        <v>130</v>
      </c>
      <c r="R25" s="57" t="s">
        <v>134</v>
      </c>
      <c r="S25" s="57" t="s">
        <v>135</v>
      </c>
    </row>
    <row r="26" spans="1:28">
      <c r="A26" s="66"/>
    </row>
    <row r="27" spans="1:28">
      <c r="A27" s="57" t="s">
        <v>116</v>
      </c>
      <c r="C27" s="57">
        <f>8*25.4</f>
        <v>203.2</v>
      </c>
      <c r="E27" s="57">
        <f>C6</f>
        <v>3.1749999999999998</v>
      </c>
      <c r="K27" s="102">
        <v>25.4</v>
      </c>
      <c r="S27" s="57">
        <v>14.49</v>
      </c>
      <c r="T27" s="57" t="s">
        <v>120</v>
      </c>
    </row>
    <row r="28" spans="1:28">
      <c r="A28" s="57" t="s">
        <v>111</v>
      </c>
      <c r="C28" s="57">
        <f>MODE(C12:D22)</f>
        <v>206</v>
      </c>
      <c r="E28" s="57">
        <f>MODE(E12:J22)</f>
        <v>3.42</v>
      </c>
      <c r="K28" s="57">
        <f>MODE(K12:L22)</f>
        <v>25.68</v>
      </c>
      <c r="R28" s="104">
        <f>AVERAGE(R12:R22)</f>
        <v>261</v>
      </c>
      <c r="S28" s="104">
        <f>AVERAGE(S12:S22)</f>
        <v>14.434191370856372</v>
      </c>
      <c r="T28" s="104"/>
    </row>
    <row r="29" spans="1:28">
      <c r="A29" s="57" t="s">
        <v>110</v>
      </c>
      <c r="C29" s="121">
        <f>AVERAGE(C12:D22)</f>
        <v>205.81818181818181</v>
      </c>
      <c r="D29" s="121"/>
      <c r="E29" s="65">
        <f>AVERAGE(E12:J22)</f>
        <v>3.4239393939393925</v>
      </c>
      <c r="K29" s="153">
        <f>AVERAGE(K12:L22)</f>
        <v>25.659545454545455</v>
      </c>
      <c r="R29" s="57">
        <f>STDEV(R12:R22)</f>
        <v>1.2521980673972792</v>
      </c>
      <c r="S29" s="57">
        <f>STDEV(S12:S22)</f>
        <v>5.8483357853843031E-2</v>
      </c>
    </row>
    <row r="30" spans="1:28">
      <c r="A30" s="57" t="s">
        <v>117</v>
      </c>
      <c r="C30" s="57">
        <f>STDEV(C12:D22)</f>
        <v>0.39477101697586137</v>
      </c>
      <c r="E30" s="57">
        <f>STDEV(E12:J22)</f>
        <v>2.7949338116769432E-2</v>
      </c>
      <c r="K30" s="57">
        <f>STDEV(K12:L22)</f>
        <v>2.8531899061738621E-2</v>
      </c>
      <c r="R30" s="57">
        <f>R28+R29</f>
        <v>262.25219806739727</v>
      </c>
      <c r="S30" s="104">
        <f>S28+S29</f>
        <v>14.492674728710215</v>
      </c>
    </row>
    <row r="31" spans="1:28">
      <c r="A31" s="154" t="s">
        <v>118</v>
      </c>
      <c r="E31" s="65">
        <f>E29+E30</f>
        <v>3.4518887320561618</v>
      </c>
      <c r="K31" s="153">
        <f>K29+K30</f>
        <v>25.688077353607195</v>
      </c>
      <c r="R31" s="57">
        <f>R28-R29</f>
        <v>259.74780193260273</v>
      </c>
      <c r="S31" s="104">
        <f>S28-S29</f>
        <v>14.375708013002528</v>
      </c>
    </row>
    <row r="32" spans="1:28">
      <c r="A32" s="154" t="s">
        <v>119</v>
      </c>
      <c r="E32" s="65">
        <f>E29-E30</f>
        <v>3.3959900558226233</v>
      </c>
      <c r="K32" s="153">
        <f>K29-K30</f>
        <v>25.631013555483715</v>
      </c>
    </row>
    <row r="33" spans="1:11">
      <c r="A33" s="57" t="s">
        <v>124</v>
      </c>
      <c r="C33" s="153">
        <f>MAX(C12:D22)-C27</f>
        <v>2.8000000000000114</v>
      </c>
      <c r="E33" s="65">
        <f>MAX(E12:J22)-E27</f>
        <v>0.28500000000000014</v>
      </c>
      <c r="K33" s="153">
        <f>MAX(K12:L22)-$K27</f>
        <v>0.33999999999999986</v>
      </c>
    </row>
    <row r="34" spans="1:11">
      <c r="A34" s="57" t="s">
        <v>125</v>
      </c>
      <c r="C34" s="153">
        <f>MIN(C12:D22)-C27</f>
        <v>1.8000000000000114</v>
      </c>
      <c r="E34" s="65">
        <f>MIN(E12:J22)-E27</f>
        <v>0.18500000000000005</v>
      </c>
      <c r="K34" s="153">
        <f>MIN(K12:L22)-K27</f>
        <v>0.20000000000000284</v>
      </c>
    </row>
    <row r="35" spans="1:11" ht="15.75" thickBot="1"/>
    <row r="36" spans="1:11">
      <c r="A36" s="57" t="s">
        <v>146</v>
      </c>
      <c r="C36" s="40" t="s">
        <v>147</v>
      </c>
      <c r="D36" s="40" t="s">
        <v>149</v>
      </c>
      <c r="F36" s="65"/>
    </row>
    <row r="37" spans="1:11">
      <c r="A37" s="57">
        <f>3.35</f>
        <v>3.35</v>
      </c>
      <c r="C37" s="123">
        <v>3.35</v>
      </c>
      <c r="D37" s="124">
        <v>0</v>
      </c>
      <c r="F37" s="65"/>
    </row>
    <row r="38" spans="1:11">
      <c r="A38" s="57">
        <f>A37+0.01</f>
        <v>3.36</v>
      </c>
      <c r="C38" s="123">
        <v>3.36</v>
      </c>
      <c r="D38" s="124">
        <v>1</v>
      </c>
    </row>
    <row r="39" spans="1:11">
      <c r="A39" s="57">
        <f t="shared" ref="A39:A49" si="6">A38+0.01</f>
        <v>3.3699999999999997</v>
      </c>
      <c r="C39" s="123">
        <v>3.3699999999999997</v>
      </c>
      <c r="D39" s="124">
        <v>0</v>
      </c>
    </row>
    <row r="40" spans="1:11">
      <c r="A40" s="57">
        <f t="shared" si="6"/>
        <v>3.3799999999999994</v>
      </c>
      <c r="C40" s="123">
        <v>3.3799999999999994</v>
      </c>
      <c r="D40" s="124">
        <v>8</v>
      </c>
    </row>
    <row r="41" spans="1:11">
      <c r="A41" s="57">
        <f t="shared" si="6"/>
        <v>3.3899999999999992</v>
      </c>
      <c r="C41" s="123">
        <v>3.3899999999999992</v>
      </c>
      <c r="D41" s="124">
        <v>2</v>
      </c>
    </row>
    <row r="42" spans="1:11">
      <c r="A42" s="57">
        <f t="shared" si="6"/>
        <v>3.399999999999999</v>
      </c>
      <c r="C42" s="123">
        <v>3.399999999999999</v>
      </c>
      <c r="D42" s="124">
        <v>1</v>
      </c>
    </row>
    <row r="43" spans="1:11">
      <c r="A43" s="57">
        <f t="shared" si="6"/>
        <v>3.4099999999999988</v>
      </c>
      <c r="C43" s="123">
        <v>3.4099999999999988</v>
      </c>
      <c r="D43" s="124">
        <v>0</v>
      </c>
    </row>
    <row r="44" spans="1:11">
      <c r="A44" s="57">
        <f t="shared" si="6"/>
        <v>3.4199999999999986</v>
      </c>
      <c r="C44" s="123">
        <v>3.4199999999999986</v>
      </c>
      <c r="D44" s="124">
        <v>3</v>
      </c>
    </row>
    <row r="45" spans="1:11">
      <c r="A45" s="57">
        <f t="shared" si="6"/>
        <v>3.4299999999999984</v>
      </c>
      <c r="C45" s="123">
        <v>3.4299999999999984</v>
      </c>
      <c r="D45" s="124">
        <v>13</v>
      </c>
    </row>
    <row r="46" spans="1:11">
      <c r="A46" s="57">
        <f t="shared" si="6"/>
        <v>3.4399999999999982</v>
      </c>
      <c r="C46" s="123">
        <v>3.4399999999999982</v>
      </c>
      <c r="D46" s="124">
        <v>12</v>
      </c>
    </row>
    <row r="47" spans="1:11">
      <c r="A47" s="57">
        <f>A46+0.01</f>
        <v>3.449999999999998</v>
      </c>
      <c r="C47" s="123">
        <v>3.449999999999998</v>
      </c>
      <c r="D47" s="124">
        <v>10</v>
      </c>
    </row>
    <row r="48" spans="1:11">
      <c r="A48" s="57">
        <f t="shared" si="6"/>
        <v>3.4599999999999977</v>
      </c>
      <c r="C48" s="123">
        <v>3.4599999999999977</v>
      </c>
      <c r="D48" s="124">
        <v>10</v>
      </c>
    </row>
    <row r="49" spans="1:4">
      <c r="A49" s="57">
        <f t="shared" si="6"/>
        <v>3.4699999999999975</v>
      </c>
      <c r="C49" s="123">
        <v>3.4699999999999975</v>
      </c>
      <c r="D49" s="124">
        <v>6</v>
      </c>
    </row>
    <row r="50" spans="1:4" ht="15.75" thickBot="1">
      <c r="C50" s="125" t="s">
        <v>148</v>
      </c>
      <c r="D50" s="125">
        <v>0</v>
      </c>
    </row>
  </sheetData>
  <sortState ref="C37:C49">
    <sortCondition ref="C37"/>
  </sortState>
  <mergeCells count="4">
    <mergeCell ref="C9:D9"/>
    <mergeCell ref="E9:I9"/>
    <mergeCell ref="K9:L9"/>
    <mergeCell ref="M9:P9"/>
  </mergeCells>
  <pageMargins left="0.25" right="0.25" top="0.25" bottom="0.25" header="0.3" footer="0.3"/>
  <pageSetup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C50"/>
  <sheetViews>
    <sheetView topLeftCell="A4" zoomScale="70" zoomScaleNormal="70" workbookViewId="0">
      <selection activeCell="AE11" sqref="AE11"/>
    </sheetView>
  </sheetViews>
  <sheetFormatPr defaultRowHeight="15"/>
  <cols>
    <col min="1" max="1" width="6.28515625" style="57" customWidth="1"/>
    <col min="2" max="2" width="16.140625" style="57" customWidth="1"/>
    <col min="3" max="3" width="6.140625" style="57" customWidth="1"/>
    <col min="4" max="4" width="5.140625" style="57" customWidth="1"/>
    <col min="5" max="9" width="6.85546875" style="57" customWidth="1"/>
    <col min="10" max="10" width="6.85546875" style="57" bestFit="1" customWidth="1"/>
    <col min="11" max="12" width="6.85546875" style="57" customWidth="1"/>
    <col min="13" max="16" width="3.7109375" style="57" customWidth="1"/>
    <col min="17" max="17" width="6.28515625" style="57" customWidth="1"/>
    <col min="18" max="18" width="4.7109375" style="57" customWidth="1"/>
    <col min="19" max="19" width="7" style="57" customWidth="1"/>
    <col min="20" max="20" width="5.140625" style="57" customWidth="1"/>
    <col min="21" max="21" width="9.85546875" style="57" customWidth="1"/>
    <col min="22" max="16384" width="9.140625" style="57"/>
  </cols>
  <sheetData>
    <row r="1" spans="1:29">
      <c r="A1" s="57" t="s">
        <v>0</v>
      </c>
      <c r="B1" s="52"/>
    </row>
    <row r="2" spans="1:29">
      <c r="A2" s="57" t="s">
        <v>1</v>
      </c>
      <c r="B2" s="52"/>
    </row>
    <row r="3" spans="1:29">
      <c r="A3" s="57" t="s">
        <v>58</v>
      </c>
      <c r="B3" s="52"/>
    </row>
    <row r="4" spans="1:29">
      <c r="B4" s="52"/>
    </row>
    <row r="5" spans="1:29">
      <c r="B5" s="57" t="s">
        <v>112</v>
      </c>
      <c r="C5" s="57" t="s">
        <v>113</v>
      </c>
    </row>
    <row r="6" spans="1:29">
      <c r="A6" s="57" t="s">
        <v>87</v>
      </c>
      <c r="B6" s="66">
        <v>0.25</v>
      </c>
      <c r="C6" s="57">
        <f>B6*25.4</f>
        <v>6.35</v>
      </c>
      <c r="D6" s="52"/>
      <c r="E6" s="52"/>
      <c r="F6" s="52"/>
      <c r="G6" s="52"/>
      <c r="H6" s="70"/>
      <c r="I6" s="52"/>
      <c r="J6" s="52"/>
      <c r="K6" s="52"/>
      <c r="L6" s="52"/>
      <c r="M6" s="52"/>
      <c r="N6" s="52"/>
      <c r="O6" s="52"/>
      <c r="P6" s="52"/>
      <c r="Q6" s="52"/>
    </row>
    <row r="7" spans="1:29">
      <c r="B7" s="66"/>
      <c r="D7" s="52"/>
      <c r="E7" s="52"/>
      <c r="F7" s="52"/>
      <c r="G7" s="52"/>
      <c r="H7" s="70">
        <f>MIN(E12:J12,F13:J13,E14:J14,E15:E16,F16:J16,G15:I15)</f>
        <v>6.61</v>
      </c>
      <c r="I7" s="52"/>
      <c r="J7" s="52"/>
      <c r="K7" s="52"/>
      <c r="L7" s="52"/>
      <c r="M7" s="52"/>
      <c r="N7" s="52"/>
      <c r="O7" s="52"/>
      <c r="P7" s="52"/>
      <c r="Q7" s="52"/>
    </row>
    <row r="8" spans="1:29">
      <c r="A8" s="57" t="s">
        <v>115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X8" s="100" t="s">
        <v>157</v>
      </c>
      <c r="Z8" s="100"/>
    </row>
    <row r="9" spans="1:29" ht="45">
      <c r="A9" s="111" t="s">
        <v>216</v>
      </c>
      <c r="B9" s="128" t="s">
        <v>60</v>
      </c>
      <c r="C9" s="767" t="s">
        <v>61</v>
      </c>
      <c r="D9" s="768"/>
      <c r="E9" s="766" t="s">
        <v>62</v>
      </c>
      <c r="F9" s="766"/>
      <c r="G9" s="766"/>
      <c r="H9" s="766"/>
      <c r="I9" s="766"/>
      <c r="J9" s="129"/>
      <c r="K9" s="767" t="s">
        <v>63</v>
      </c>
      <c r="L9" s="768"/>
      <c r="M9" s="767" t="s">
        <v>64</v>
      </c>
      <c r="N9" s="765"/>
      <c r="O9" s="765"/>
      <c r="P9" s="765"/>
      <c r="Q9" s="130" t="s">
        <v>91</v>
      </c>
      <c r="R9" s="39" t="s">
        <v>220</v>
      </c>
      <c r="S9" s="228" t="s">
        <v>221</v>
      </c>
      <c r="T9" s="152" t="s">
        <v>101</v>
      </c>
      <c r="W9" s="152" t="s">
        <v>216</v>
      </c>
      <c r="X9" s="46" t="s">
        <v>631</v>
      </c>
      <c r="Y9" s="133" t="s">
        <v>123</v>
      </c>
      <c r="Z9" s="134" t="s">
        <v>155</v>
      </c>
      <c r="AA9" s="152" t="s">
        <v>196</v>
      </c>
      <c r="AB9" s="252" t="s">
        <v>223</v>
      </c>
      <c r="AC9" s="252" t="s">
        <v>628</v>
      </c>
    </row>
    <row r="10" spans="1:29">
      <c r="A10" s="97"/>
      <c r="B10" s="255"/>
      <c r="C10" s="256">
        <v>1</v>
      </c>
      <c r="D10" s="255">
        <v>2</v>
      </c>
      <c r="E10" s="256">
        <v>1</v>
      </c>
      <c r="F10" s="199">
        <v>2</v>
      </c>
      <c r="G10" s="199">
        <v>3</v>
      </c>
      <c r="H10" s="199">
        <v>4</v>
      </c>
      <c r="I10" s="199">
        <v>5</v>
      </c>
      <c r="J10" s="255">
        <v>6</v>
      </c>
      <c r="K10" s="256">
        <v>1</v>
      </c>
      <c r="L10" s="255">
        <v>2</v>
      </c>
      <c r="M10" s="256">
        <v>1</v>
      </c>
      <c r="N10" s="199">
        <v>2</v>
      </c>
      <c r="O10" s="199">
        <v>3</v>
      </c>
      <c r="P10" s="199">
        <v>4</v>
      </c>
      <c r="Q10" s="255"/>
      <c r="R10" s="256"/>
      <c r="S10" s="263"/>
      <c r="T10" s="143"/>
      <c r="W10" s="143"/>
      <c r="X10" s="143"/>
      <c r="Y10" s="142"/>
      <c r="Z10" s="138"/>
      <c r="AA10" s="138"/>
      <c r="AB10" s="143"/>
    </row>
    <row r="11" spans="1:29">
      <c r="A11" s="66"/>
      <c r="B11" s="159"/>
      <c r="C11" s="60"/>
      <c r="D11" s="159"/>
      <c r="E11" s="233"/>
      <c r="F11" s="71"/>
      <c r="G11" s="71"/>
      <c r="H11" s="71"/>
      <c r="I11" s="71"/>
      <c r="J11" s="234"/>
      <c r="K11" s="60"/>
      <c r="L11" s="159"/>
      <c r="M11" s="60"/>
      <c r="N11" s="61"/>
      <c r="O11" s="61"/>
      <c r="P11" s="61"/>
      <c r="Q11" s="159"/>
      <c r="R11" s="139"/>
      <c r="S11" s="140"/>
      <c r="T11" s="143"/>
      <c r="W11" s="143"/>
      <c r="X11" s="143"/>
      <c r="Y11" s="142"/>
      <c r="Z11" s="143"/>
      <c r="AA11" s="143"/>
      <c r="AB11" s="143"/>
    </row>
    <row r="12" spans="1:29">
      <c r="A12" s="66">
        <v>1</v>
      </c>
      <c r="B12" s="159"/>
      <c r="C12" s="257">
        <v>205</v>
      </c>
      <c r="D12" s="54">
        <v>205</v>
      </c>
      <c r="E12" s="233">
        <v>6.63</v>
      </c>
      <c r="F12" s="71">
        <v>6.62</v>
      </c>
      <c r="G12" s="71">
        <v>6.66</v>
      </c>
      <c r="H12" s="71">
        <v>6.69</v>
      </c>
      <c r="I12" s="71">
        <v>6.63</v>
      </c>
      <c r="J12" s="234">
        <v>6.66</v>
      </c>
      <c r="K12" s="72">
        <v>25.71</v>
      </c>
      <c r="L12" s="73">
        <v>25.73</v>
      </c>
      <c r="M12" s="60"/>
      <c r="N12" s="61"/>
      <c r="O12" s="61"/>
      <c r="P12" s="61"/>
      <c r="Q12" s="159"/>
      <c r="R12" s="139">
        <v>500.5</v>
      </c>
      <c r="S12" s="260">
        <f>R12/(AVERAGE(C12:D12)*AVERAGE(E12:J12)*AVERAGE(K12:L12)*0.001)</f>
        <v>14.277970179857828</v>
      </c>
      <c r="T12" s="143">
        <v>2</v>
      </c>
      <c r="W12" s="143">
        <v>1</v>
      </c>
      <c r="X12" s="249">
        <f>MAX(E12:J12)-MIN(E12:J12)</f>
        <v>7.0000000000000284E-2</v>
      </c>
      <c r="Y12" s="143">
        <f>IF(OR(ABS(E12-$C$6)&gt;($C$6*0.1),ABS(F12-$C$6)&gt;($C$6*0.1),ABS(G12-$C$6)&gt;($C$6*0.1),ABS(H12-$C$6)&gt;($C$6*0.1),ABS(I12-$C$6)&gt;($C$6*0.1),ABS(J12-$C$6)&gt;($C$6*0.1)),1,0)</f>
        <v>0</v>
      </c>
      <c r="Z12" s="143">
        <f>IF(OR(K12&gt;Cuts!$B$16, L12&gt;Cuts!B$16), 1,0)</f>
        <v>0</v>
      </c>
      <c r="AA12" s="246">
        <f>IF(OR(C12&gt;Cuts!$C$16, D12&gt;Cuts!$C$16),1,0)</f>
        <v>0</v>
      </c>
      <c r="AB12" s="143">
        <f>IF(OR(M12="Y",N12="Y",O12="Y",P12="Y"),1,0)</f>
        <v>0</v>
      </c>
    </row>
    <row r="13" spans="1:29">
      <c r="A13" s="66">
        <f>A12+1</f>
        <v>2</v>
      </c>
      <c r="B13" s="159"/>
      <c r="C13" s="257">
        <v>205</v>
      </c>
      <c r="D13" s="54">
        <v>205</v>
      </c>
      <c r="E13" s="233">
        <v>6.58</v>
      </c>
      <c r="F13" s="71">
        <v>6.62</v>
      </c>
      <c r="G13" s="71">
        <v>6.63</v>
      </c>
      <c r="H13" s="71">
        <v>6.66</v>
      </c>
      <c r="I13" s="71">
        <v>6.61</v>
      </c>
      <c r="J13" s="234">
        <v>6.63</v>
      </c>
      <c r="K13" s="72">
        <v>25.76</v>
      </c>
      <c r="L13" s="73">
        <v>25.79</v>
      </c>
      <c r="M13" s="60"/>
      <c r="N13" s="61"/>
      <c r="O13" s="61"/>
      <c r="P13" s="61"/>
      <c r="Q13" s="159"/>
      <c r="R13" s="139">
        <v>498.3</v>
      </c>
      <c r="S13" s="260">
        <f>R13/(AVERAGE(C13:D13)*AVERAGE(E13:J13)*AVERAGE(K13:L13)*0.001)</f>
        <v>14.242001838210481</v>
      </c>
      <c r="T13" s="143">
        <v>2</v>
      </c>
      <c r="W13" s="143">
        <f>W12+1</f>
        <v>2</v>
      </c>
      <c r="X13" s="249">
        <f t="shared" ref="X13:X16" si="0">MAX(E13:J13)-MIN(E13:J13)</f>
        <v>8.0000000000000071E-2</v>
      </c>
      <c r="Y13" s="143">
        <f>IF(OR(ABS(E13-$C$6)&gt;($C$6*0.1),ABS(F13-$C$6)&gt;($C$6*0.1),ABS(G13-$C$6)&gt;($C$6*0.1),ABS(H13-$C$6)&gt;($C$6*0.1),ABS(I13-$C$6)&gt;($C$6*0.1),ABS(J13-$C$6)&gt;($C$6*0.1)),1,0)</f>
        <v>0</v>
      </c>
      <c r="Z13" s="143">
        <f>IF(OR(K13&gt;Cuts!$B$16, L13&gt;Cuts!B$16), 1,0)</f>
        <v>0</v>
      </c>
      <c r="AA13" s="246">
        <f>IF(OR(C13&gt;Cuts!$C$16, D13&gt;Cuts!$C$16),1,0)</f>
        <v>0</v>
      </c>
      <c r="AB13" s="143">
        <f t="shared" ref="AB13:AB16" si="1">IF(OR(M13="Y",N13="Y",O13="Y",P13="Y"),1,0)</f>
        <v>0</v>
      </c>
    </row>
    <row r="14" spans="1:29">
      <c r="A14" s="171">
        <f t="shared" ref="A14:A16" si="2">A13+1</f>
        <v>3</v>
      </c>
      <c r="B14" s="159"/>
      <c r="C14" s="257">
        <v>205</v>
      </c>
      <c r="D14" s="54">
        <v>205</v>
      </c>
      <c r="E14" s="233">
        <v>6.67</v>
      </c>
      <c r="F14" s="71">
        <v>6.7</v>
      </c>
      <c r="G14" s="71">
        <v>6.7</v>
      </c>
      <c r="H14" s="71">
        <v>6.72</v>
      </c>
      <c r="I14" s="71">
        <v>6.61</v>
      </c>
      <c r="J14" s="234">
        <v>6.65</v>
      </c>
      <c r="K14" s="72">
        <v>25.7</v>
      </c>
      <c r="L14" s="73">
        <v>25.67</v>
      </c>
      <c r="M14" s="60"/>
      <c r="N14" s="61"/>
      <c r="O14" s="61"/>
      <c r="P14" s="61"/>
      <c r="Q14" s="159"/>
      <c r="R14" s="139">
        <v>501.4</v>
      </c>
      <c r="S14" s="260">
        <f>R14/(AVERAGE(C14:D14)*AVERAGE(E14:J14)*AVERAGE(K14:L14)*0.001)</f>
        <v>14.2659148822581</v>
      </c>
      <c r="T14" s="143">
        <v>2</v>
      </c>
      <c r="W14" s="265">
        <f t="shared" ref="W14:W16" si="3">W13+1</f>
        <v>3</v>
      </c>
      <c r="X14" s="249">
        <f t="shared" si="0"/>
        <v>0.10999999999999943</v>
      </c>
      <c r="Y14" s="143">
        <f>IF(OR(ABS(E14-$C$6)&gt;($C$6*0.1),ABS(F14-$C$6)&gt;($C$6*0.1),ABS(G14-$C$6)&gt;($C$6*0.1),ABS(H14-$C$6)&gt;($C$6*0.1),ABS(I14-$C$6)&gt;($C$6*0.1),ABS(J14-$C$6)&gt;($C$6*0.1)),1,0)</f>
        <v>0</v>
      </c>
      <c r="Z14" s="143">
        <f>IF(OR(K14&gt;Cuts!$B$16, L14&gt;Cuts!B$16), 1,0)</f>
        <v>0</v>
      </c>
      <c r="AA14" s="246">
        <f>IF(OR(C14&gt;Cuts!$C$16, D14&gt;Cuts!$C$16),1,0)</f>
        <v>0</v>
      </c>
      <c r="AB14" s="143">
        <f t="shared" si="1"/>
        <v>0</v>
      </c>
      <c r="AC14" t="s">
        <v>642</v>
      </c>
    </row>
    <row r="15" spans="1:29">
      <c r="A15" s="66">
        <f t="shared" si="2"/>
        <v>4</v>
      </c>
      <c r="B15" s="159"/>
      <c r="C15" s="257">
        <v>205</v>
      </c>
      <c r="D15" s="54">
        <v>205</v>
      </c>
      <c r="E15" s="233">
        <v>6.61</v>
      </c>
      <c r="F15" s="71">
        <v>6.58</v>
      </c>
      <c r="G15" s="71">
        <v>6.67</v>
      </c>
      <c r="H15" s="71">
        <v>6.64</v>
      </c>
      <c r="I15" s="71">
        <v>6.62</v>
      </c>
      <c r="J15" s="234">
        <v>6.58</v>
      </c>
      <c r="K15" s="72">
        <v>25.74</v>
      </c>
      <c r="L15" s="73">
        <v>25.74</v>
      </c>
      <c r="M15" s="60"/>
      <c r="N15" s="61"/>
      <c r="O15" s="61"/>
      <c r="P15" s="61"/>
      <c r="Q15" s="159"/>
      <c r="R15" s="139">
        <v>498.6</v>
      </c>
      <c r="S15" s="260">
        <f>R15/(AVERAGE(C15:D15)*AVERAGE(E15:J15)*AVERAGE(K15:L15)*0.001)</f>
        <v>14.280736772596454</v>
      </c>
      <c r="T15" s="143">
        <v>2</v>
      </c>
      <c r="W15" s="143">
        <f t="shared" si="3"/>
        <v>4</v>
      </c>
      <c r="X15" s="249">
        <f t="shared" si="0"/>
        <v>8.9999999999999858E-2</v>
      </c>
      <c r="Y15" s="143">
        <f>IF(OR(ABS(E15-$C$6)&gt;($C$6*0.1),ABS(F15-$C$6)&gt;($C$6*0.1),ABS(G15-$C$6)&gt;($C$6*0.1),ABS(H15-$C$6)&gt;($C$6*0.1),ABS(I15-$C$6)&gt;($C$6*0.1),ABS(J15-$C$6)&gt;($C$6*0.1)),1,0)</f>
        <v>0</v>
      </c>
      <c r="Z15" s="143">
        <f>IF(OR(K15&gt;Cuts!$B$16, L15&gt;Cuts!B$16), 1,0)</f>
        <v>0</v>
      </c>
      <c r="AA15" s="246">
        <f>IF(OR(C15&gt;Cuts!$C$16, D15&gt;Cuts!$C$16),1,0)</f>
        <v>0</v>
      </c>
      <c r="AB15" s="143">
        <f t="shared" si="1"/>
        <v>0</v>
      </c>
    </row>
    <row r="16" spans="1:29">
      <c r="A16" s="111">
        <f t="shared" si="2"/>
        <v>5</v>
      </c>
      <c r="B16" s="281"/>
      <c r="C16" s="258">
        <v>205</v>
      </c>
      <c r="D16" s="259">
        <v>205</v>
      </c>
      <c r="E16" s="293">
        <v>6.7</v>
      </c>
      <c r="F16" s="129">
        <v>6.63</v>
      </c>
      <c r="G16" s="129">
        <v>6.71</v>
      </c>
      <c r="H16" s="129">
        <v>6.69</v>
      </c>
      <c r="I16" s="129">
        <v>6.64</v>
      </c>
      <c r="J16" s="254">
        <v>6.62</v>
      </c>
      <c r="K16" s="88">
        <v>25.72</v>
      </c>
      <c r="L16" s="89">
        <v>25.7</v>
      </c>
      <c r="M16" s="303"/>
      <c r="N16" s="128"/>
      <c r="O16" s="128"/>
      <c r="P16" s="128"/>
      <c r="Q16" s="281"/>
      <c r="R16" s="155">
        <v>501.8</v>
      </c>
      <c r="S16" s="261">
        <f>R16/(AVERAGE(C16:D16)*AVERAGE(E16:J16)*AVERAGE(K16:L16)*0.001)</f>
        <v>14.284813198916886</v>
      </c>
      <c r="T16" s="152">
        <v>2</v>
      </c>
      <c r="W16" s="152">
        <f t="shared" si="3"/>
        <v>5</v>
      </c>
      <c r="X16" s="249">
        <f t="shared" si="0"/>
        <v>8.9999999999999858E-2</v>
      </c>
      <c r="Y16" s="152">
        <f>IF(OR(ABS(E16-$C$6)&gt;($C$6*0.1),ABS(F16-$C$6)&gt;($C$6*0.1),ABS(G16-$C$6)&gt;($C$6*0.1),ABS(H16-$C$6)&gt;($C$6*0.1),ABS(I16-$C$6)&gt;($C$6*0.1),ABS(J16-$C$6)&gt;($C$6*0.1)),1,0)</f>
        <v>0</v>
      </c>
      <c r="Z16" s="152">
        <f>IF(OR(K16&gt;Cuts!$B$16, L16&gt;Cuts!B$16), 1,0)</f>
        <v>0</v>
      </c>
      <c r="AA16" s="248">
        <f>IF(OR(C16&gt;Cuts!$C$16, D16&gt;Cuts!$C$16),1,0)</f>
        <v>0</v>
      </c>
      <c r="AB16" s="152">
        <f t="shared" si="1"/>
        <v>0</v>
      </c>
    </row>
    <row r="17" spans="1:28" s="97" customFormat="1">
      <c r="B17" s="199"/>
      <c r="C17" s="200"/>
      <c r="D17" s="201"/>
      <c r="E17" s="202"/>
      <c r="F17" s="202"/>
      <c r="G17" s="202"/>
      <c r="H17" s="202"/>
      <c r="I17" s="202"/>
      <c r="J17" s="202"/>
      <c r="K17" s="203"/>
      <c r="L17" s="204"/>
      <c r="M17" s="199"/>
      <c r="N17" s="199"/>
      <c r="O17" s="199"/>
      <c r="P17" s="199"/>
      <c r="Q17" s="199"/>
      <c r="S17" s="195"/>
      <c r="Z17" s="97">
        <f>SUM(Z12:Z16)</f>
        <v>0</v>
      </c>
      <c r="AA17" s="97">
        <f>SUM(AA12:AA16)</f>
        <v>0</v>
      </c>
      <c r="AB17" s="97">
        <f>SUM(AB12:AB16)</f>
        <v>0</v>
      </c>
    </row>
    <row r="18" spans="1:28" s="66" customFormat="1">
      <c r="B18" s="61"/>
      <c r="C18" s="172"/>
      <c r="D18" s="173"/>
      <c r="E18" s="71"/>
      <c r="F18" s="71"/>
      <c r="G18" s="71"/>
      <c r="H18" s="71"/>
      <c r="I18" s="71"/>
      <c r="J18" s="71"/>
      <c r="K18" s="102"/>
      <c r="L18" s="101"/>
      <c r="M18" s="61"/>
      <c r="N18" s="61"/>
      <c r="O18" s="61"/>
      <c r="P18" s="61"/>
      <c r="Q18" s="61"/>
      <c r="S18" s="107"/>
    </row>
    <row r="19" spans="1:28">
      <c r="A19" s="66" t="s">
        <v>114</v>
      </c>
      <c r="C19" s="57" t="s">
        <v>132</v>
      </c>
      <c r="E19" s="57" t="s">
        <v>133</v>
      </c>
      <c r="K19" s="57" t="s">
        <v>130</v>
      </c>
      <c r="R19" s="57" t="s">
        <v>134</v>
      </c>
      <c r="S19" s="57" t="s">
        <v>135</v>
      </c>
    </row>
    <row r="20" spans="1:28">
      <c r="A20" s="66"/>
      <c r="B20" s="61"/>
      <c r="C20" s="172"/>
      <c r="D20" s="173"/>
      <c r="E20" s="70"/>
      <c r="F20" s="70"/>
      <c r="G20" s="70"/>
      <c r="H20" s="70"/>
      <c r="I20" s="70"/>
      <c r="J20" s="71"/>
      <c r="K20" s="102"/>
      <c r="L20" s="101"/>
      <c r="M20" s="52"/>
      <c r="N20" s="52"/>
      <c r="O20" s="61"/>
      <c r="P20" s="61"/>
      <c r="Q20" s="61"/>
      <c r="S20" s="65"/>
    </row>
    <row r="21" spans="1:28">
      <c r="A21" s="57" t="s">
        <v>116</v>
      </c>
      <c r="C21" s="57">
        <f>8*25.4</f>
        <v>203.2</v>
      </c>
      <c r="E21" s="57">
        <f>C6</f>
        <v>6.35</v>
      </c>
      <c r="K21" s="102">
        <v>25.4</v>
      </c>
    </row>
    <row r="22" spans="1:28">
      <c r="A22" s="57" t="s">
        <v>111</v>
      </c>
      <c r="C22" s="57">
        <f>MODE(C12:D16)</f>
        <v>205</v>
      </c>
      <c r="E22" s="57">
        <f>MODE(E12:J16)</f>
        <v>6.63</v>
      </c>
      <c r="K22" s="57">
        <f>MODE(K12:L16)</f>
        <v>25.7</v>
      </c>
    </row>
    <row r="23" spans="1:28">
      <c r="A23" s="57" t="s">
        <v>110</v>
      </c>
      <c r="C23" s="121">
        <f>AVERAGE(C12:D16)</f>
        <v>205</v>
      </c>
      <c r="D23" s="121"/>
      <c r="E23" s="65">
        <f>AVERAGE(E12:J16)</f>
        <v>6.6453333333333324</v>
      </c>
      <c r="K23" s="153">
        <f>AVERAGE(K12:L16)</f>
        <v>25.726000000000006</v>
      </c>
      <c r="R23" s="57">
        <f>AVERAGE(R12:R16)</f>
        <v>500.12</v>
      </c>
      <c r="S23" s="57">
        <f>AVERAGE(S12:S16)</f>
        <v>14.27028737436795</v>
      </c>
    </row>
    <row r="24" spans="1:28">
      <c r="A24" s="57" t="s">
        <v>117</v>
      </c>
      <c r="C24" s="57">
        <f>STDEV(C12:D16)</f>
        <v>0</v>
      </c>
      <c r="E24" s="57">
        <f>STDEV(E12:J16)</f>
        <v>3.936857957142046E-2</v>
      </c>
      <c r="K24" s="57">
        <f>STDEV(K12:L16)</f>
        <v>3.4058772731852448E-2</v>
      </c>
      <c r="R24" s="57">
        <f>STDEV(R12:R16)</f>
        <v>1.599062225190065</v>
      </c>
      <c r="S24" s="57">
        <f>STDEV(S12:S16)</f>
        <v>1.7308995098833997E-2</v>
      </c>
    </row>
    <row r="25" spans="1:28">
      <c r="A25" s="154" t="s">
        <v>118</v>
      </c>
      <c r="E25" s="65">
        <f>E23+E24</f>
        <v>6.6847019129047531</v>
      </c>
      <c r="K25" s="153">
        <f>K23+K24</f>
        <v>25.76005877273186</v>
      </c>
      <c r="R25" s="57">
        <f>R23+R24</f>
        <v>501.71906222519004</v>
      </c>
    </row>
    <row r="26" spans="1:28">
      <c r="A26" s="154" t="s">
        <v>119</v>
      </c>
      <c r="E26" s="65">
        <f>E23-E24</f>
        <v>6.6059647537619117</v>
      </c>
      <c r="K26" s="153">
        <f>K23-K24</f>
        <v>25.691941227268153</v>
      </c>
      <c r="R26" s="57">
        <f>R23-R24</f>
        <v>498.52093777480997</v>
      </c>
    </row>
    <row r="27" spans="1:28">
      <c r="A27" s="57" t="s">
        <v>124</v>
      </c>
      <c r="C27" s="153">
        <f>MAX(C12:D16)-C21</f>
        <v>1.8000000000000114</v>
      </c>
      <c r="E27" s="65">
        <f>MAX(E12:J16)-E21</f>
        <v>0.37000000000000011</v>
      </c>
      <c r="K27" s="153">
        <f>MAX(K12:L16)-$K21</f>
        <v>0.39000000000000057</v>
      </c>
    </row>
    <row r="28" spans="1:28">
      <c r="A28" s="57" t="s">
        <v>125</v>
      </c>
      <c r="C28" s="153">
        <f>MIN(C12:D16)-C21</f>
        <v>1.8000000000000114</v>
      </c>
      <c r="E28" s="65">
        <f>MIN(E12:J16)-E21</f>
        <v>0.23000000000000043</v>
      </c>
      <c r="K28" s="153">
        <f>MIN(K12:L16)-K21</f>
        <v>0.27000000000000313</v>
      </c>
    </row>
    <row r="29" spans="1:28" ht="15.75" thickBot="1">
      <c r="E29" s="65"/>
      <c r="F29" s="65"/>
      <c r="G29" s="65"/>
      <c r="H29" s="65"/>
      <c r="I29" s="65"/>
      <c r="J29" s="65"/>
      <c r="K29" s="153"/>
      <c r="L29" s="153"/>
    </row>
    <row r="30" spans="1:28">
      <c r="A30" s="57" t="s">
        <v>146</v>
      </c>
      <c r="B30" s="65"/>
      <c r="C30" s="40" t="s">
        <v>147</v>
      </c>
      <c r="D30" s="775" t="s">
        <v>149</v>
      </c>
      <c r="E30" s="775"/>
      <c r="F30" s="65"/>
      <c r="G30" s="153"/>
      <c r="H30" s="153"/>
    </row>
    <row r="31" spans="1:28">
      <c r="A31" s="65">
        <f>MIN(E12:J16)-0.01</f>
        <v>6.57</v>
      </c>
      <c r="B31" s="65"/>
      <c r="C31" s="205">
        <v>6.57</v>
      </c>
      <c r="D31" s="124">
        <v>0</v>
      </c>
      <c r="E31" s="65"/>
      <c r="F31" s="65"/>
      <c r="G31" s="153"/>
      <c r="H31" s="153"/>
    </row>
    <row r="32" spans="1:28">
      <c r="A32" s="65">
        <f>A31+0.01</f>
        <v>6.58</v>
      </c>
      <c r="B32" s="65"/>
      <c r="C32" s="205">
        <v>6.58</v>
      </c>
      <c r="D32" s="124">
        <v>3</v>
      </c>
      <c r="E32" s="65"/>
      <c r="F32" s="65"/>
      <c r="G32" s="153"/>
      <c r="H32" s="153"/>
    </row>
    <row r="33" spans="1:8">
      <c r="A33" s="65">
        <f t="shared" ref="A33:A47" si="4">A32+0.01</f>
        <v>6.59</v>
      </c>
      <c r="B33" s="65"/>
      <c r="C33" s="205">
        <v>6.59</v>
      </c>
      <c r="D33" s="124">
        <v>0</v>
      </c>
      <c r="E33" s="65"/>
      <c r="F33" s="65"/>
      <c r="G33" s="153"/>
      <c r="H33" s="153"/>
    </row>
    <row r="34" spans="1:8">
      <c r="A34" s="65">
        <f t="shared" si="4"/>
        <v>6.6</v>
      </c>
      <c r="B34" s="65"/>
      <c r="C34" s="205">
        <v>6.6</v>
      </c>
      <c r="D34" s="124">
        <v>0</v>
      </c>
      <c r="E34" s="65"/>
      <c r="F34" s="65"/>
      <c r="G34" s="153"/>
      <c r="H34" s="153"/>
    </row>
    <row r="35" spans="1:8">
      <c r="A35" s="65">
        <f t="shared" si="4"/>
        <v>6.6099999999999994</v>
      </c>
      <c r="B35" s="65"/>
      <c r="C35" s="205">
        <v>6.6099999999999994</v>
      </c>
      <c r="D35" s="124">
        <v>0</v>
      </c>
      <c r="E35" s="65"/>
      <c r="F35" s="65"/>
      <c r="G35" s="153"/>
      <c r="H35" s="153"/>
    </row>
    <row r="36" spans="1:8">
      <c r="A36" s="65">
        <f t="shared" si="4"/>
        <v>6.6199999999999992</v>
      </c>
      <c r="C36" s="205">
        <v>6.6199999999999992</v>
      </c>
      <c r="D36" s="124">
        <v>3</v>
      </c>
    </row>
    <row r="37" spans="1:8">
      <c r="A37" s="65">
        <f t="shared" si="4"/>
        <v>6.629999999999999</v>
      </c>
      <c r="C37" s="205">
        <v>6.629999999999999</v>
      </c>
      <c r="D37" s="124">
        <v>4</v>
      </c>
    </row>
    <row r="38" spans="1:8">
      <c r="A38" s="65">
        <f t="shared" si="4"/>
        <v>6.6399999999999988</v>
      </c>
      <c r="C38" s="205">
        <v>6.6399999999999988</v>
      </c>
      <c r="D38" s="124">
        <v>5</v>
      </c>
    </row>
    <row r="39" spans="1:8">
      <c r="A39" s="65">
        <f t="shared" si="4"/>
        <v>6.6499999999999986</v>
      </c>
      <c r="C39" s="205">
        <v>6.6499999999999986</v>
      </c>
      <c r="D39" s="124">
        <v>2</v>
      </c>
    </row>
    <row r="40" spans="1:8">
      <c r="A40" s="65">
        <f t="shared" si="4"/>
        <v>6.6599999999999984</v>
      </c>
      <c r="C40" s="205">
        <v>6.6599999999999984</v>
      </c>
      <c r="D40" s="124">
        <v>1</v>
      </c>
    </row>
    <row r="41" spans="1:8">
      <c r="A41" s="65">
        <f t="shared" si="4"/>
        <v>6.6699999999999982</v>
      </c>
      <c r="C41" s="205">
        <v>6.6699999999999982</v>
      </c>
      <c r="D41" s="124">
        <v>3</v>
      </c>
    </row>
    <row r="42" spans="1:8">
      <c r="A42" s="65">
        <f t="shared" si="4"/>
        <v>6.6799999999999979</v>
      </c>
      <c r="C42" s="205">
        <v>6.6799999999999979</v>
      </c>
      <c r="D42" s="124">
        <v>2</v>
      </c>
    </row>
    <row r="43" spans="1:8">
      <c r="A43" s="65">
        <f t="shared" si="4"/>
        <v>6.6899999999999977</v>
      </c>
      <c r="C43" s="205">
        <v>6.6899999999999977</v>
      </c>
      <c r="D43" s="124">
        <v>0</v>
      </c>
    </row>
    <row r="44" spans="1:8">
      <c r="A44" s="65">
        <f t="shared" si="4"/>
        <v>6.6999999999999975</v>
      </c>
      <c r="C44" s="205">
        <v>6.6999999999999975</v>
      </c>
      <c r="D44" s="124">
        <v>2</v>
      </c>
    </row>
    <row r="45" spans="1:8">
      <c r="A45" s="65">
        <f t="shared" si="4"/>
        <v>6.7099999999999973</v>
      </c>
      <c r="C45" s="205">
        <v>6.7099999999999973</v>
      </c>
      <c r="D45" s="124">
        <v>3</v>
      </c>
    </row>
    <row r="46" spans="1:8">
      <c r="A46" s="65">
        <f t="shared" si="4"/>
        <v>6.7199999999999971</v>
      </c>
      <c r="C46" s="205">
        <v>6.7199999999999971</v>
      </c>
      <c r="D46" s="124">
        <v>1</v>
      </c>
    </row>
    <row r="47" spans="1:8">
      <c r="A47" s="65">
        <f t="shared" si="4"/>
        <v>6.7299999999999969</v>
      </c>
      <c r="C47" s="205">
        <v>6.7299999999999969</v>
      </c>
      <c r="D47" s="124">
        <v>1</v>
      </c>
    </row>
    <row r="48" spans="1:8">
      <c r="A48" s="57">
        <v>6.74</v>
      </c>
      <c r="C48" s="205">
        <v>6.74</v>
      </c>
      <c r="D48" s="124">
        <v>0</v>
      </c>
    </row>
    <row r="49" spans="1:4">
      <c r="A49" s="57">
        <v>6.75</v>
      </c>
      <c r="C49" s="205">
        <v>6.75</v>
      </c>
      <c r="D49" s="124">
        <v>0</v>
      </c>
    </row>
    <row r="50" spans="1:4" ht="15.75" thickBot="1">
      <c r="C50" s="125" t="s">
        <v>148</v>
      </c>
      <c r="D50" s="125">
        <v>0</v>
      </c>
    </row>
  </sheetData>
  <sortState ref="C31:C49">
    <sortCondition ref="C31"/>
  </sortState>
  <mergeCells count="5">
    <mergeCell ref="D30:E30"/>
    <mergeCell ref="C9:D9"/>
    <mergeCell ref="E9:I9"/>
    <mergeCell ref="K9:L9"/>
    <mergeCell ref="M9:P9"/>
  </mergeCells>
  <pageMargins left="0.25" right="0.25" top="0.25" bottom="0.25" header="0.3" footer="0.3"/>
  <pageSetup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A47"/>
  <sheetViews>
    <sheetView topLeftCell="A5" zoomScale="85" zoomScaleNormal="85" workbookViewId="0">
      <selection activeCell="X27" sqref="X27"/>
    </sheetView>
  </sheetViews>
  <sheetFormatPr defaultRowHeight="15"/>
  <cols>
    <col min="1" max="1" width="6.28515625" style="57" customWidth="1"/>
    <col min="2" max="2" width="16.140625" style="57" customWidth="1"/>
    <col min="3" max="3" width="6.140625" style="57" customWidth="1"/>
    <col min="4" max="4" width="5.140625" style="57" customWidth="1"/>
    <col min="5" max="9" width="6.85546875" style="57" customWidth="1"/>
    <col min="10" max="10" width="6.85546875" style="57" bestFit="1" customWidth="1"/>
    <col min="11" max="12" width="6.85546875" style="57" customWidth="1"/>
    <col min="13" max="16" width="3.7109375" style="57" customWidth="1"/>
    <col min="17" max="18" width="5.7109375" style="57" customWidth="1"/>
    <col min="19" max="19" width="7" style="57" customWidth="1"/>
    <col min="20" max="20" width="5.140625" style="57" customWidth="1"/>
    <col min="21" max="16384" width="9.140625" style="57"/>
  </cols>
  <sheetData>
    <row r="1" spans="1:27">
      <c r="A1" s="57" t="s">
        <v>0</v>
      </c>
      <c r="B1" s="52"/>
    </row>
    <row r="2" spans="1:27">
      <c r="A2" s="57" t="s">
        <v>1</v>
      </c>
      <c r="B2" s="52"/>
    </row>
    <row r="3" spans="1:27">
      <c r="A3" s="57" t="s">
        <v>58</v>
      </c>
      <c r="B3" s="52"/>
    </row>
    <row r="4" spans="1:27">
      <c r="B4" s="52"/>
    </row>
    <row r="5" spans="1:27">
      <c r="B5" s="57" t="s">
        <v>112</v>
      </c>
      <c r="C5" s="57" t="s">
        <v>113</v>
      </c>
    </row>
    <row r="6" spans="1:27">
      <c r="A6" s="57" t="s">
        <v>87</v>
      </c>
      <c r="B6" s="66">
        <v>0.25</v>
      </c>
      <c r="C6" s="57">
        <v>6.35</v>
      </c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</row>
    <row r="7" spans="1:27">
      <c r="B7" s="6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</row>
    <row r="8" spans="1:27">
      <c r="A8" s="57" t="s">
        <v>115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V8" s="776" t="s">
        <v>157</v>
      </c>
      <c r="W8" s="776"/>
    </row>
    <row r="9" spans="1:27" ht="30" customHeight="1">
      <c r="A9" s="111" t="s">
        <v>216</v>
      </c>
      <c r="B9" s="281" t="s">
        <v>60</v>
      </c>
      <c r="C9" s="767" t="s">
        <v>61</v>
      </c>
      <c r="D9" s="768"/>
      <c r="E9" s="766" t="s">
        <v>62</v>
      </c>
      <c r="F9" s="766"/>
      <c r="G9" s="766"/>
      <c r="H9" s="766"/>
      <c r="I9" s="766"/>
      <c r="J9" s="129"/>
      <c r="K9" s="767" t="s">
        <v>63</v>
      </c>
      <c r="L9" s="768"/>
      <c r="M9" s="767" t="s">
        <v>64</v>
      </c>
      <c r="N9" s="765"/>
      <c r="O9" s="765"/>
      <c r="P9" s="765"/>
      <c r="Q9" s="130" t="s">
        <v>91</v>
      </c>
      <c r="R9" s="39" t="s">
        <v>220</v>
      </c>
      <c r="S9" s="228" t="s">
        <v>221</v>
      </c>
      <c r="T9" s="152" t="s">
        <v>101</v>
      </c>
      <c r="V9" s="152" t="s">
        <v>216</v>
      </c>
      <c r="W9" s="46" t="s">
        <v>643</v>
      </c>
      <c r="X9" s="133" t="s">
        <v>123</v>
      </c>
      <c r="Y9" s="134" t="s">
        <v>155</v>
      </c>
      <c r="Z9" s="152" t="s">
        <v>196</v>
      </c>
      <c r="AA9" s="252" t="s">
        <v>223</v>
      </c>
    </row>
    <row r="10" spans="1:27">
      <c r="A10" s="66"/>
      <c r="B10" s="159"/>
      <c r="C10" s="60">
        <v>1</v>
      </c>
      <c r="D10" s="159">
        <v>2</v>
      </c>
      <c r="E10" s="256">
        <v>1</v>
      </c>
      <c r="F10" s="199">
        <v>2</v>
      </c>
      <c r="G10" s="199">
        <v>3</v>
      </c>
      <c r="H10" s="199">
        <v>4</v>
      </c>
      <c r="I10" s="199">
        <v>5</v>
      </c>
      <c r="J10" s="255">
        <v>6</v>
      </c>
      <c r="K10" s="256">
        <v>1</v>
      </c>
      <c r="L10" s="255">
        <v>2</v>
      </c>
      <c r="M10" s="256">
        <v>1</v>
      </c>
      <c r="N10" s="199">
        <v>2</v>
      </c>
      <c r="O10" s="199">
        <v>3</v>
      </c>
      <c r="P10" s="199">
        <v>4</v>
      </c>
      <c r="Q10" s="255"/>
      <c r="R10" s="256"/>
      <c r="S10" s="263"/>
      <c r="T10" s="143"/>
      <c r="V10" s="143"/>
      <c r="W10" s="143"/>
      <c r="X10" s="142"/>
      <c r="Y10" s="138"/>
      <c r="Z10" s="138"/>
      <c r="AA10" s="143"/>
    </row>
    <row r="11" spans="1:27">
      <c r="A11" s="66"/>
      <c r="B11" s="140"/>
      <c r="C11" s="139"/>
      <c r="D11" s="140"/>
      <c r="E11" s="139"/>
      <c r="F11" s="66"/>
      <c r="G11" s="66"/>
      <c r="H11" s="66"/>
      <c r="I11" s="66"/>
      <c r="J11" s="140"/>
      <c r="K11" s="139"/>
      <c r="L11" s="140"/>
      <c r="M11" s="139"/>
      <c r="N11" s="66"/>
      <c r="O11" s="66"/>
      <c r="P11" s="66"/>
      <c r="Q11" s="140"/>
      <c r="R11" s="139"/>
      <c r="S11" s="140"/>
      <c r="T11" s="143"/>
      <c r="V11" s="143"/>
      <c r="W11" s="143"/>
      <c r="X11" s="143"/>
      <c r="Y11" s="143"/>
      <c r="Z11" s="143"/>
      <c r="AA11" s="143"/>
    </row>
    <row r="12" spans="1:27">
      <c r="A12" s="66">
        <v>6</v>
      </c>
      <c r="B12" s="159"/>
      <c r="C12" s="257">
        <v>103</v>
      </c>
      <c r="D12" s="54">
        <v>103</v>
      </c>
      <c r="E12" s="233">
        <v>6.67</v>
      </c>
      <c r="F12" s="71">
        <v>6.66</v>
      </c>
      <c r="G12" s="71">
        <v>6.71</v>
      </c>
      <c r="H12" s="71">
        <v>6.73</v>
      </c>
      <c r="I12" s="71">
        <v>6.72</v>
      </c>
      <c r="J12" s="234">
        <v>6.74</v>
      </c>
      <c r="K12" s="72">
        <v>25.67</v>
      </c>
      <c r="L12" s="73">
        <v>25.75</v>
      </c>
      <c r="M12" s="60"/>
      <c r="N12" s="61"/>
      <c r="O12" s="61"/>
      <c r="P12" s="61"/>
      <c r="Q12" s="159"/>
      <c r="R12" s="139">
        <v>254.7</v>
      </c>
      <c r="S12" s="260">
        <v>14.344679899101646</v>
      </c>
      <c r="T12" s="143">
        <v>2</v>
      </c>
      <c r="V12" s="143">
        <v>6</v>
      </c>
      <c r="W12" s="249">
        <f>MAX(E12:J12)-MIN(E12:J12)</f>
        <v>8.0000000000000071E-2</v>
      </c>
      <c r="X12" s="143">
        <v>0</v>
      </c>
      <c r="Y12" s="143">
        <f>IF(OR(K12&gt;Cuts!$B$16, L12&gt;Cuts!B$16), 1,0)</f>
        <v>0</v>
      </c>
      <c r="Z12" s="246">
        <f>IF(OR(C12&gt;Cuts!$D$16, D12&gt;Cuts!$D$16),1,0)</f>
        <v>0</v>
      </c>
      <c r="AA12" s="143">
        <f>IF(OR(M12="Y",N12="Y",O12="Y",P12="Y"),1,0)</f>
        <v>0</v>
      </c>
    </row>
    <row r="13" spans="1:27" s="111" customFormat="1">
      <c r="A13" s="810">
        <v>7</v>
      </c>
      <c r="B13" s="281"/>
      <c r="C13" s="258">
        <v>103</v>
      </c>
      <c r="D13" s="259">
        <v>103</v>
      </c>
      <c r="E13" s="293">
        <v>6.74</v>
      </c>
      <c r="F13" s="129">
        <v>6.72</v>
      </c>
      <c r="G13" s="129">
        <v>6.72</v>
      </c>
      <c r="H13" s="129">
        <v>6.7</v>
      </c>
      <c r="I13" s="129">
        <v>6.67</v>
      </c>
      <c r="J13" s="254">
        <v>6.65</v>
      </c>
      <c r="K13" s="88">
        <v>25.73</v>
      </c>
      <c r="L13" s="89">
        <v>25.69</v>
      </c>
      <c r="M13" s="303"/>
      <c r="N13" s="128"/>
      <c r="O13" s="128"/>
      <c r="P13" s="128"/>
      <c r="Q13" s="281"/>
      <c r="R13" s="155">
        <v>254.8</v>
      </c>
      <c r="S13" s="261">
        <v>14.361021077616531</v>
      </c>
      <c r="T13" s="152">
        <v>2</v>
      </c>
      <c r="V13" s="811">
        <v>7</v>
      </c>
      <c r="W13" s="249">
        <f>MAX(E13:J13)-MIN(E13:J13)</f>
        <v>8.9999999999999858E-2</v>
      </c>
      <c r="X13" s="152">
        <v>0</v>
      </c>
      <c r="Y13" s="152">
        <f>IF(OR(K13&gt;Cuts!$B$16, L13&gt;Cuts!B$16), 1,0)</f>
        <v>0</v>
      </c>
      <c r="Z13" s="248">
        <f>IF(OR(C13&gt;Cuts!$D$16, D13&gt;Cuts!$D$16),1,0)</f>
        <v>0</v>
      </c>
      <c r="AA13" s="152">
        <f>IF(OR(M13="Y",N13="Y",O13="Y",P13="Y"),1,0)</f>
        <v>0</v>
      </c>
    </row>
    <row r="14" spans="1:27" s="66" customFormat="1">
      <c r="B14" s="61"/>
      <c r="C14" s="172"/>
      <c r="D14" s="173"/>
      <c r="E14" s="71"/>
      <c r="F14" s="71"/>
      <c r="G14" s="71"/>
      <c r="H14" s="71"/>
      <c r="I14" s="71"/>
      <c r="J14" s="71"/>
      <c r="K14" s="102"/>
      <c r="L14" s="101"/>
      <c r="M14" s="61"/>
      <c r="N14" s="61"/>
      <c r="O14" s="61"/>
      <c r="P14" s="61"/>
      <c r="R14" s="107"/>
      <c r="Y14" s="66">
        <f>SUM(Y12:Y13)</f>
        <v>0</v>
      </c>
      <c r="Z14" s="66">
        <f>SUM(Z12:Z13)</f>
        <v>0</v>
      </c>
      <c r="AA14" s="66">
        <f>SUM(AA12:AA13)</f>
        <v>0</v>
      </c>
    </row>
    <row r="16" spans="1:27">
      <c r="A16" s="66" t="s">
        <v>114</v>
      </c>
      <c r="C16" s="57" t="s">
        <v>132</v>
      </c>
      <c r="E16" s="57" t="s">
        <v>133</v>
      </c>
      <c r="K16" s="57" t="s">
        <v>130</v>
      </c>
      <c r="Q16" s="57" t="s">
        <v>134</v>
      </c>
      <c r="R16" s="57" t="s">
        <v>135</v>
      </c>
    </row>
    <row r="18" spans="1:18">
      <c r="A18" s="57" t="s">
        <v>116</v>
      </c>
      <c r="C18" s="57">
        <f>4*25.4</f>
        <v>101.6</v>
      </c>
      <c r="E18" s="57">
        <f>C6</f>
        <v>6.35</v>
      </c>
      <c r="K18" s="102">
        <v>25.4</v>
      </c>
    </row>
    <row r="19" spans="1:18">
      <c r="A19" s="57" t="s">
        <v>111</v>
      </c>
      <c r="C19" s="57">
        <f>MODE(C12, C13)</f>
        <v>103</v>
      </c>
      <c r="E19" s="57">
        <f>MODE(E12:J13)</f>
        <v>6.72</v>
      </c>
      <c r="K19" s="57" t="e">
        <f>MODE(K12:L13)</f>
        <v>#N/A</v>
      </c>
      <c r="Q19" s="57" t="e">
        <f>MODE(R12:R13)</f>
        <v>#N/A</v>
      </c>
      <c r="R19" s="57" t="e">
        <f>MODE(S12:S13)</f>
        <v>#N/A</v>
      </c>
    </row>
    <row r="20" spans="1:18">
      <c r="A20" s="57" t="s">
        <v>110</v>
      </c>
      <c r="C20" s="121">
        <f>AVERAGE(C12, C13)</f>
        <v>103</v>
      </c>
      <c r="E20" s="65">
        <f>AVERAGE(E12:J13)</f>
        <v>6.7025000000000006</v>
      </c>
      <c r="K20" s="153">
        <f>AVERAGE(K12:L13)</f>
        <v>25.71</v>
      </c>
      <c r="Q20" s="104">
        <f>AVERAGE(R12:R13)</f>
        <v>254.75</v>
      </c>
      <c r="R20" s="104">
        <f>AVERAGE(S12:S13)</f>
        <v>14.352850488359088</v>
      </c>
    </row>
    <row r="21" spans="1:18">
      <c r="A21" s="57" t="s">
        <v>117</v>
      </c>
      <c r="C21" s="57">
        <f>STDEV(C12, C13)</f>
        <v>0</v>
      </c>
      <c r="D21" s="173"/>
      <c r="E21" s="57">
        <f>STDEV(E12:J13)</f>
        <v>3.19445542378438E-2</v>
      </c>
      <c r="K21" s="57">
        <f>STDEV(K12:L13)</f>
        <v>3.6514837167010296E-2</v>
      </c>
      <c r="Q21" s="57">
        <f>STDEV(R12:R13)</f>
        <v>7.0710678118670822E-2</v>
      </c>
      <c r="R21" s="57">
        <f>STDEV(S12:S13)</f>
        <v>1.1554958140455282E-2</v>
      </c>
    </row>
    <row r="22" spans="1:18">
      <c r="A22" s="154" t="s">
        <v>118</v>
      </c>
      <c r="D22" s="173"/>
      <c r="E22" s="65">
        <f>E20+E21</f>
        <v>6.7344445542378439</v>
      </c>
      <c r="K22" s="153">
        <f>K20+K21</f>
        <v>25.746514837167013</v>
      </c>
      <c r="Q22" s="57">
        <f>Q20+Q21</f>
        <v>254.82071067811867</v>
      </c>
      <c r="R22" s="104">
        <f>R20+R21</f>
        <v>14.364405446499545</v>
      </c>
    </row>
    <row r="23" spans="1:18">
      <c r="A23" s="154" t="s">
        <v>119</v>
      </c>
      <c r="D23" s="173"/>
      <c r="E23" s="65">
        <f>E20-E21</f>
        <v>6.6705554457621572</v>
      </c>
      <c r="K23" s="153">
        <f>K20-K21</f>
        <v>25.673485162832989</v>
      </c>
      <c r="Q23" s="57">
        <f>Q20-Q21</f>
        <v>254.67928932188133</v>
      </c>
      <c r="R23" s="104">
        <f>R20-R21</f>
        <v>14.341295530218632</v>
      </c>
    </row>
    <row r="24" spans="1:18">
      <c r="A24" s="57" t="s">
        <v>124</v>
      </c>
      <c r="C24" s="153">
        <f>MAX(C12:D13)-C18</f>
        <v>1.4000000000000057</v>
      </c>
      <c r="E24" s="65">
        <f>MAX(E12:J13)-E18</f>
        <v>0.39000000000000057</v>
      </c>
      <c r="K24" s="153">
        <f>MAX(K12:L13)-$K18</f>
        <v>0.35000000000000142</v>
      </c>
    </row>
    <row r="25" spans="1:18">
      <c r="A25" s="57" t="s">
        <v>125</v>
      </c>
      <c r="C25" s="153">
        <f>MIN(C12:D13)-C18</f>
        <v>1.4000000000000057</v>
      </c>
      <c r="E25" s="65">
        <f>MIN(E12:J13)-E18</f>
        <v>0.30000000000000071</v>
      </c>
      <c r="K25" s="153">
        <f>MIN(K12:L13)-K18</f>
        <v>0.27000000000000313</v>
      </c>
    </row>
    <row r="26" spans="1:18" ht="15.75" thickBot="1"/>
    <row r="27" spans="1:18">
      <c r="A27" s="57" t="s">
        <v>146</v>
      </c>
      <c r="C27" s="40" t="s">
        <v>147</v>
      </c>
      <c r="D27" s="40" t="s">
        <v>149</v>
      </c>
    </row>
    <row r="28" spans="1:18">
      <c r="A28" s="65">
        <f>6.57</f>
        <v>6.57</v>
      </c>
      <c r="C28" s="205">
        <v>6.57</v>
      </c>
      <c r="D28" s="124">
        <v>0</v>
      </c>
    </row>
    <row r="29" spans="1:18">
      <c r="A29" s="65">
        <f>A28+0.01</f>
        <v>6.58</v>
      </c>
      <c r="C29" s="205">
        <v>6.58</v>
      </c>
      <c r="D29" s="124">
        <v>0</v>
      </c>
    </row>
    <row r="30" spans="1:18">
      <c r="A30" s="65">
        <f t="shared" ref="A30:A44" si="0">A29+0.01</f>
        <v>6.59</v>
      </c>
      <c r="C30" s="205">
        <v>6.59</v>
      </c>
      <c r="D30" s="124">
        <v>0</v>
      </c>
    </row>
    <row r="31" spans="1:18">
      <c r="A31" s="65">
        <f t="shared" si="0"/>
        <v>6.6</v>
      </c>
      <c r="C31" s="205">
        <v>6.6</v>
      </c>
      <c r="D31" s="124">
        <v>0</v>
      </c>
    </row>
    <row r="32" spans="1:18">
      <c r="A32" s="65">
        <f t="shared" si="0"/>
        <v>6.6099999999999994</v>
      </c>
      <c r="C32" s="205">
        <v>6.6099999999999994</v>
      </c>
      <c r="D32" s="124">
        <v>0</v>
      </c>
    </row>
    <row r="33" spans="1:4">
      <c r="A33" s="65">
        <f t="shared" si="0"/>
        <v>6.6199999999999992</v>
      </c>
      <c r="C33" s="205">
        <v>6.6199999999999992</v>
      </c>
      <c r="D33" s="124">
        <v>0</v>
      </c>
    </row>
    <row r="34" spans="1:4">
      <c r="A34" s="65">
        <f t="shared" si="0"/>
        <v>6.629999999999999</v>
      </c>
      <c r="C34" s="205">
        <v>6.629999999999999</v>
      </c>
      <c r="D34" s="124">
        <v>0</v>
      </c>
    </row>
    <row r="35" spans="1:4">
      <c r="A35" s="65">
        <f t="shared" si="0"/>
        <v>6.6399999999999988</v>
      </c>
      <c r="C35" s="205">
        <v>6.6399999999999988</v>
      </c>
      <c r="D35" s="124">
        <v>0</v>
      </c>
    </row>
    <row r="36" spans="1:4">
      <c r="A36" s="65">
        <f t="shared" si="0"/>
        <v>6.6499999999999986</v>
      </c>
      <c r="C36" s="205">
        <v>6.6499999999999986</v>
      </c>
      <c r="D36" s="124">
        <v>0</v>
      </c>
    </row>
    <row r="37" spans="1:4">
      <c r="A37" s="65">
        <f t="shared" si="0"/>
        <v>6.6599999999999984</v>
      </c>
      <c r="C37" s="205">
        <v>6.6599999999999984</v>
      </c>
      <c r="D37" s="124">
        <v>1</v>
      </c>
    </row>
    <row r="38" spans="1:4">
      <c r="A38" s="65">
        <f t="shared" si="0"/>
        <v>6.6699999999999982</v>
      </c>
      <c r="C38" s="205">
        <v>6.6699999999999982</v>
      </c>
      <c r="D38" s="124">
        <v>1</v>
      </c>
    </row>
    <row r="39" spans="1:4">
      <c r="A39" s="65">
        <f t="shared" si="0"/>
        <v>6.6799999999999979</v>
      </c>
      <c r="C39" s="205">
        <v>6.6799999999999979</v>
      </c>
      <c r="D39" s="124">
        <v>2</v>
      </c>
    </row>
    <row r="40" spans="1:4">
      <c r="A40" s="65">
        <f t="shared" si="0"/>
        <v>6.6899999999999977</v>
      </c>
      <c r="C40" s="205">
        <v>6.6899999999999977</v>
      </c>
      <c r="D40" s="124">
        <v>0</v>
      </c>
    </row>
    <row r="41" spans="1:4">
      <c r="A41" s="65">
        <f t="shared" si="0"/>
        <v>6.6999999999999975</v>
      </c>
      <c r="C41" s="205">
        <v>6.6999999999999975</v>
      </c>
      <c r="D41" s="124">
        <v>0</v>
      </c>
    </row>
    <row r="42" spans="1:4">
      <c r="A42" s="65">
        <f t="shared" si="0"/>
        <v>6.7099999999999973</v>
      </c>
      <c r="C42" s="205">
        <v>6.7099999999999973</v>
      </c>
      <c r="D42" s="124">
        <v>1</v>
      </c>
    </row>
    <row r="43" spans="1:4">
      <c r="A43" s="65">
        <f t="shared" si="0"/>
        <v>6.7199999999999971</v>
      </c>
      <c r="C43" s="205">
        <v>6.7199999999999971</v>
      </c>
      <c r="D43" s="124">
        <v>1</v>
      </c>
    </row>
    <row r="44" spans="1:4">
      <c r="A44" s="65">
        <f t="shared" si="0"/>
        <v>6.7299999999999969</v>
      </c>
      <c r="C44" s="205">
        <v>6.7299999999999969</v>
      </c>
      <c r="D44" s="124">
        <v>3</v>
      </c>
    </row>
    <row r="45" spans="1:4">
      <c r="A45" s="57">
        <v>6.74</v>
      </c>
      <c r="C45" s="205">
        <v>6.74</v>
      </c>
      <c r="D45" s="124">
        <v>3</v>
      </c>
    </row>
    <row r="46" spans="1:4">
      <c r="A46" s="57">
        <v>6.75</v>
      </c>
      <c r="C46" s="205">
        <v>6.75</v>
      </c>
      <c r="D46" s="124">
        <v>0</v>
      </c>
    </row>
    <row r="47" spans="1:4" ht="15.75" thickBot="1">
      <c r="C47" s="125" t="s">
        <v>148</v>
      </c>
      <c r="D47" s="125">
        <v>0</v>
      </c>
    </row>
  </sheetData>
  <sortState ref="C28:C46">
    <sortCondition ref="C28"/>
  </sortState>
  <mergeCells count="5">
    <mergeCell ref="C9:D9"/>
    <mergeCell ref="E9:I9"/>
    <mergeCell ref="K9:L9"/>
    <mergeCell ref="M9:P9"/>
    <mergeCell ref="V8:W8"/>
  </mergeCells>
  <pageMargins left="0.25" right="0.25" top="0.25" bottom="0.2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6"/>
  <sheetViews>
    <sheetView topLeftCell="A4" zoomScaleNormal="100" workbookViewId="0">
      <selection activeCell="L11" sqref="L11"/>
    </sheetView>
  </sheetViews>
  <sheetFormatPr defaultRowHeight="15"/>
  <cols>
    <col min="1" max="1" width="10" bestFit="1" customWidth="1"/>
    <col min="2" max="2" width="10.140625" customWidth="1"/>
    <col min="3" max="3" width="11.5703125" customWidth="1"/>
    <col min="4" max="4" width="11.28515625" customWidth="1"/>
    <col min="5" max="5" width="9.85546875" customWidth="1"/>
    <col min="6" max="6" width="5.42578125" bestFit="1" customWidth="1"/>
    <col min="7" max="7" width="3" customWidth="1"/>
    <col min="8" max="8" width="3.140625" customWidth="1"/>
    <col min="9" max="9" width="4" customWidth="1"/>
    <col min="10" max="17" width="3" customWidth="1"/>
    <col min="18" max="18" width="3.140625" customWidth="1"/>
    <col min="19" max="21" width="3" customWidth="1"/>
    <col min="22" max="22" width="2.140625" customWidth="1"/>
    <col min="23" max="23" width="3" customWidth="1"/>
    <col min="24" max="24" width="6" customWidth="1"/>
    <col min="25" max="25" width="4" customWidth="1"/>
  </cols>
  <sheetData>
    <row r="1" spans="1:26">
      <c r="A1" s="761" t="s">
        <v>0</v>
      </c>
      <c r="B1" s="761"/>
    </row>
    <row r="2" spans="1:26">
      <c r="A2" s="761" t="s">
        <v>1</v>
      </c>
      <c r="B2" s="761"/>
    </row>
    <row r="3" spans="1:26">
      <c r="A3" s="761" t="s">
        <v>51</v>
      </c>
      <c r="B3" s="761"/>
    </row>
    <row r="5" spans="1:26">
      <c r="A5" s="32" t="s">
        <v>52</v>
      </c>
      <c r="B5" s="32" t="s">
        <v>53</v>
      </c>
      <c r="C5" s="32" t="s">
        <v>54</v>
      </c>
      <c r="D5" s="32" t="s">
        <v>55</v>
      </c>
      <c r="E5" s="1"/>
      <c r="F5" s="46" t="s">
        <v>170</v>
      </c>
      <c r="G5" s="46" t="s">
        <v>6</v>
      </c>
      <c r="H5" s="46" t="s">
        <v>164</v>
      </c>
      <c r="I5" s="46" t="s">
        <v>9</v>
      </c>
      <c r="J5" s="46" t="s">
        <v>165</v>
      </c>
      <c r="K5" s="46" t="s">
        <v>11</v>
      </c>
      <c r="L5" s="46" t="s">
        <v>13</v>
      </c>
      <c r="M5" s="46" t="s">
        <v>15</v>
      </c>
      <c r="N5" s="46" t="s">
        <v>166</v>
      </c>
      <c r="O5" s="46" t="s">
        <v>17</v>
      </c>
      <c r="P5" s="46" t="s">
        <v>167</v>
      </c>
      <c r="Q5" s="46" t="s">
        <v>19</v>
      </c>
      <c r="R5" s="46" t="s">
        <v>168</v>
      </c>
      <c r="S5" s="46" t="s">
        <v>21</v>
      </c>
      <c r="T5" s="46" t="s">
        <v>22</v>
      </c>
      <c r="U5" s="46" t="s">
        <v>24</v>
      </c>
      <c r="V5" s="46" t="s">
        <v>26</v>
      </c>
      <c r="W5" s="46" t="s">
        <v>169</v>
      </c>
      <c r="X5" s="46" t="s">
        <v>100</v>
      </c>
      <c r="Y5" s="760" t="s">
        <v>104</v>
      </c>
      <c r="Z5" s="761"/>
    </row>
    <row r="6" spans="1:26">
      <c r="A6">
        <v>1</v>
      </c>
      <c r="B6" s="7">
        <v>40756</v>
      </c>
      <c r="C6" t="s">
        <v>56</v>
      </c>
      <c r="D6" t="s">
        <v>57</v>
      </c>
      <c r="E6" t="s">
        <v>106</v>
      </c>
      <c r="F6" s="48">
        <v>16</v>
      </c>
      <c r="G6" s="48">
        <v>0</v>
      </c>
      <c r="H6" s="48">
        <v>0</v>
      </c>
      <c r="I6" s="48">
        <v>1</v>
      </c>
      <c r="J6" s="48">
        <v>0</v>
      </c>
      <c r="K6" s="48">
        <v>1</v>
      </c>
      <c r="L6" s="48">
        <v>10</v>
      </c>
      <c r="M6" s="48">
        <v>0</v>
      </c>
      <c r="N6" s="48">
        <v>0</v>
      </c>
      <c r="O6" s="48">
        <v>1</v>
      </c>
      <c r="P6" s="48">
        <v>0</v>
      </c>
      <c r="Q6" s="48">
        <v>1</v>
      </c>
      <c r="R6" s="48">
        <v>0</v>
      </c>
      <c r="S6" s="48">
        <v>0</v>
      </c>
      <c r="T6" s="48">
        <v>1</v>
      </c>
      <c r="U6" s="48">
        <v>0</v>
      </c>
      <c r="V6" s="48">
        <v>0</v>
      </c>
      <c r="W6" s="48">
        <v>0</v>
      </c>
      <c r="X6" s="48">
        <v>1</v>
      </c>
      <c r="Y6" t="s">
        <v>105</v>
      </c>
    </row>
    <row r="7" spans="1:26">
      <c r="B7" s="7"/>
      <c r="E7" t="s">
        <v>107</v>
      </c>
      <c r="F7" s="46">
        <v>16</v>
      </c>
      <c r="G7" s="46">
        <v>0</v>
      </c>
      <c r="H7" s="46">
        <v>0</v>
      </c>
      <c r="I7" s="46">
        <v>1</v>
      </c>
      <c r="J7" s="46">
        <v>0</v>
      </c>
      <c r="K7" s="46">
        <v>1</v>
      </c>
      <c r="L7" s="46">
        <v>10</v>
      </c>
      <c r="M7" s="46">
        <v>0</v>
      </c>
      <c r="N7" s="46">
        <v>0</v>
      </c>
      <c r="O7" s="46">
        <v>1</v>
      </c>
      <c r="P7" s="46">
        <v>0</v>
      </c>
      <c r="Q7" s="46">
        <v>1</v>
      </c>
      <c r="R7" s="46">
        <v>0</v>
      </c>
      <c r="S7" s="46">
        <v>0</v>
      </c>
      <c r="T7" s="46">
        <v>1</v>
      </c>
      <c r="U7" s="46">
        <v>0</v>
      </c>
      <c r="V7" s="46">
        <v>0</v>
      </c>
      <c r="W7" s="46">
        <v>0</v>
      </c>
      <c r="X7" s="46">
        <v>1</v>
      </c>
    </row>
    <row r="8" spans="1:26">
      <c r="A8">
        <v>2</v>
      </c>
      <c r="B8" s="7">
        <v>40989</v>
      </c>
      <c r="C8" s="8" t="s">
        <v>102</v>
      </c>
      <c r="D8" t="s">
        <v>57</v>
      </c>
      <c r="E8" t="s">
        <v>106</v>
      </c>
      <c r="F8" s="48">
        <f>SUM(G8:V8)</f>
        <v>16</v>
      </c>
      <c r="G8" s="48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  <c r="P8" s="48">
        <v>0</v>
      </c>
      <c r="Q8" s="48">
        <v>0</v>
      </c>
      <c r="R8" s="48">
        <v>0</v>
      </c>
      <c r="S8" s="48">
        <v>0</v>
      </c>
      <c r="T8" s="48">
        <v>0</v>
      </c>
      <c r="U8" s="48">
        <v>11</v>
      </c>
      <c r="V8" s="48">
        <v>5</v>
      </c>
      <c r="W8" s="48">
        <v>2</v>
      </c>
      <c r="X8" s="48">
        <v>0</v>
      </c>
      <c r="Y8" t="s">
        <v>105</v>
      </c>
    </row>
    <row r="9" spans="1:26">
      <c r="B9" s="7"/>
      <c r="E9" t="s">
        <v>107</v>
      </c>
      <c r="F9" s="46">
        <v>18</v>
      </c>
      <c r="G9" s="46">
        <v>0</v>
      </c>
      <c r="H9" s="46">
        <v>0</v>
      </c>
      <c r="I9" s="46">
        <v>0</v>
      </c>
      <c r="J9" s="46">
        <v>0</v>
      </c>
      <c r="K9" s="46">
        <v>0</v>
      </c>
      <c r="L9" s="46">
        <v>0</v>
      </c>
      <c r="M9" s="46">
        <v>0</v>
      </c>
      <c r="N9" s="46">
        <v>0</v>
      </c>
      <c r="O9" s="46">
        <v>0</v>
      </c>
      <c r="P9" s="46">
        <v>0</v>
      </c>
      <c r="Q9" s="46">
        <v>0</v>
      </c>
      <c r="R9" s="46">
        <v>0</v>
      </c>
      <c r="S9" s="46">
        <v>0</v>
      </c>
      <c r="T9" s="46">
        <v>0</v>
      </c>
      <c r="U9" s="46">
        <v>11</v>
      </c>
      <c r="V9" s="46">
        <v>5</v>
      </c>
      <c r="W9" s="46">
        <v>2</v>
      </c>
      <c r="X9" s="46">
        <v>0</v>
      </c>
    </row>
    <row r="10" spans="1:26">
      <c r="A10">
        <v>3</v>
      </c>
      <c r="B10" s="7">
        <v>41051</v>
      </c>
      <c r="C10" t="s">
        <v>56</v>
      </c>
      <c r="D10" t="s">
        <v>57</v>
      </c>
      <c r="E10" t="s">
        <v>106</v>
      </c>
      <c r="F10" s="45">
        <f>SUM(G10:X10)</f>
        <v>495</v>
      </c>
      <c r="G10" s="45">
        <v>54</v>
      </c>
      <c r="H10" s="45">
        <v>28</v>
      </c>
      <c r="I10" s="45">
        <v>153</v>
      </c>
      <c r="J10" s="45">
        <v>37</v>
      </c>
      <c r="K10" s="45">
        <v>29</v>
      </c>
      <c r="L10" s="45">
        <v>32</v>
      </c>
      <c r="M10" s="45">
        <v>37</v>
      </c>
      <c r="N10" s="45">
        <v>17</v>
      </c>
      <c r="O10" s="45">
        <v>24</v>
      </c>
      <c r="P10" s="45">
        <v>19</v>
      </c>
      <c r="Q10" s="45">
        <v>20</v>
      </c>
      <c r="R10" s="45">
        <v>14</v>
      </c>
      <c r="S10" s="45">
        <v>16</v>
      </c>
      <c r="T10" s="45">
        <v>15</v>
      </c>
      <c r="U10" s="45">
        <v>0</v>
      </c>
      <c r="V10" s="45">
        <v>0</v>
      </c>
      <c r="W10" s="45">
        <v>0</v>
      </c>
      <c r="X10" s="45">
        <v>0</v>
      </c>
      <c r="Y10" s="760" t="s">
        <v>108</v>
      </c>
      <c r="Z10" s="761"/>
    </row>
    <row r="11" spans="1:26">
      <c r="A11" s="32"/>
      <c r="B11" s="32"/>
      <c r="C11" s="32"/>
      <c r="D11" s="32"/>
      <c r="E11" s="1" t="s">
        <v>107</v>
      </c>
      <c r="F11" s="46">
        <f>SUM(G11:V11)</f>
        <v>490</v>
      </c>
      <c r="G11" s="46">
        <v>54</v>
      </c>
      <c r="H11" s="46">
        <v>28</v>
      </c>
      <c r="I11" s="46">
        <v>153</v>
      </c>
      <c r="J11" s="46">
        <v>37</v>
      </c>
      <c r="K11" s="46">
        <v>29</v>
      </c>
      <c r="L11" s="46">
        <v>32</v>
      </c>
      <c r="M11" s="46">
        <v>37</v>
      </c>
      <c r="N11" s="46">
        <v>15</v>
      </c>
      <c r="O11" s="46">
        <v>24</v>
      </c>
      <c r="P11" s="46">
        <v>19</v>
      </c>
      <c r="Q11" s="46">
        <v>20</v>
      </c>
      <c r="R11" s="46">
        <v>11</v>
      </c>
      <c r="S11" s="46">
        <v>16</v>
      </c>
      <c r="T11" s="46">
        <v>15</v>
      </c>
      <c r="U11" s="46">
        <v>0</v>
      </c>
      <c r="V11" s="46">
        <v>0</v>
      </c>
      <c r="W11" s="46">
        <v>0</v>
      </c>
      <c r="X11" s="46">
        <v>0</v>
      </c>
    </row>
    <row r="12" spans="1:26">
      <c r="A12" s="762" t="s">
        <v>172</v>
      </c>
      <c r="B12" s="762"/>
      <c r="C12" s="762"/>
      <c r="D12" s="762"/>
      <c r="E12" s="763"/>
      <c r="F12" s="45">
        <f>F10+F8+F6</f>
        <v>527</v>
      </c>
      <c r="G12" s="45">
        <f>SUM(G6+G8+G10)</f>
        <v>54</v>
      </c>
      <c r="H12" s="45">
        <f t="shared" ref="H12:X12" si="0">SUM(H6+H8+H10)</f>
        <v>28</v>
      </c>
      <c r="I12" s="45">
        <f t="shared" si="0"/>
        <v>154</v>
      </c>
      <c r="J12" s="45">
        <f t="shared" si="0"/>
        <v>37</v>
      </c>
      <c r="K12" s="45">
        <f t="shared" si="0"/>
        <v>30</v>
      </c>
      <c r="L12" s="45">
        <f>SUM(L6+L8+L10)</f>
        <v>42</v>
      </c>
      <c r="M12" s="45">
        <f t="shared" si="0"/>
        <v>37</v>
      </c>
      <c r="N12" s="45">
        <f t="shared" si="0"/>
        <v>17</v>
      </c>
      <c r="O12" s="45">
        <f t="shared" si="0"/>
        <v>25</v>
      </c>
      <c r="P12" s="45">
        <f t="shared" si="0"/>
        <v>19</v>
      </c>
      <c r="Q12" s="45">
        <f t="shared" si="0"/>
        <v>21</v>
      </c>
      <c r="R12" s="45">
        <f t="shared" si="0"/>
        <v>14</v>
      </c>
      <c r="S12" s="45">
        <f t="shared" si="0"/>
        <v>16</v>
      </c>
      <c r="T12" s="45">
        <f t="shared" si="0"/>
        <v>16</v>
      </c>
      <c r="U12" s="45">
        <f t="shared" si="0"/>
        <v>11</v>
      </c>
      <c r="V12" s="45">
        <f t="shared" si="0"/>
        <v>5</v>
      </c>
      <c r="W12" s="45">
        <f t="shared" si="0"/>
        <v>2</v>
      </c>
      <c r="X12" s="45">
        <f t="shared" si="0"/>
        <v>1</v>
      </c>
    </row>
    <row r="15" spans="1:26">
      <c r="A15" s="761" t="s">
        <v>103</v>
      </c>
      <c r="B15" s="761"/>
      <c r="C15" s="761"/>
    </row>
    <row r="16" spans="1:26">
      <c r="A16" s="761">
        <f>SUM(F6,F8,F10)</f>
        <v>527</v>
      </c>
      <c r="B16" s="761"/>
      <c r="C16" s="761"/>
    </row>
  </sheetData>
  <mergeCells count="8">
    <mergeCell ref="A15:C15"/>
    <mergeCell ref="A16:C16"/>
    <mergeCell ref="A12:E12"/>
    <mergeCell ref="Y5:Z5"/>
    <mergeCell ref="Y10:Z10"/>
    <mergeCell ref="A1:B1"/>
    <mergeCell ref="A2:B2"/>
    <mergeCell ref="A3:B3"/>
  </mergeCells>
  <pageMargins left="0.2" right="0.2" top="0.5" bottom="0.5" header="0.3" footer="0.3"/>
  <pageSetup orientation="landscape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91"/>
  <sheetViews>
    <sheetView topLeftCell="A28" zoomScale="75" zoomScaleNormal="75" zoomScaleSheetLayoutView="100" workbookViewId="0">
      <selection activeCell="N46" sqref="N46"/>
    </sheetView>
  </sheetViews>
  <sheetFormatPr defaultRowHeight="15"/>
  <cols>
    <col min="1" max="1" width="9.140625" style="57"/>
    <col min="2" max="2" width="11.7109375" style="57" customWidth="1"/>
    <col min="3" max="5" width="9.140625" style="57"/>
    <col min="6" max="6" width="11.5703125" style="57" customWidth="1"/>
    <col min="7" max="16384" width="9.140625" style="57"/>
  </cols>
  <sheetData>
    <row r="1" spans="1:15">
      <c r="A1" s="57" t="s">
        <v>0</v>
      </c>
    </row>
    <row r="2" spans="1:15">
      <c r="A2" s="57" t="s">
        <v>1</v>
      </c>
    </row>
    <row r="3" spans="1:15">
      <c r="A3" s="57" t="s">
        <v>129</v>
      </c>
    </row>
    <row r="4" spans="1:15">
      <c r="A4" s="57" t="s">
        <v>136</v>
      </c>
    </row>
    <row r="7" spans="1:15">
      <c r="A7" s="3" t="s">
        <v>130</v>
      </c>
    </row>
    <row r="8" spans="1:15">
      <c r="A8" s="3"/>
      <c r="B8" s="49" t="s">
        <v>142</v>
      </c>
    </row>
    <row r="9" spans="1:15">
      <c r="A9" s="101"/>
      <c r="B9" s="57" t="s">
        <v>188</v>
      </c>
      <c r="C9" s="57">
        <v>25.4</v>
      </c>
      <c r="O9" s="206"/>
    </row>
    <row r="10" spans="1:15">
      <c r="A10" s="101"/>
      <c r="B10" s="102" t="s">
        <v>204</v>
      </c>
      <c r="C10" s="153">
        <f>'Aggregate Data'!Q21</f>
        <v>26.186259765624957</v>
      </c>
      <c r="O10" s="206"/>
    </row>
    <row r="11" spans="1:15">
      <c r="A11" s="101"/>
    </row>
    <row r="12" spans="1:15" ht="30">
      <c r="A12" s="101"/>
      <c r="B12" s="102" t="s">
        <v>124</v>
      </c>
      <c r="C12" s="153">
        <f>MAX(A!K76,As!K51,B!K176,Bs!K59,'C'!K52,D!K64,E!K59,Es!K39,F!K47,Fs!K41,G!K43,Gs!K36,H!K38,I!K38,J!K33,K!K27,Ks!K24)</f>
        <v>3.6300000000000026</v>
      </c>
      <c r="O12" s="206"/>
    </row>
    <row r="13" spans="1:15" ht="30">
      <c r="A13" s="101"/>
      <c r="B13" s="102" t="s">
        <v>125</v>
      </c>
      <c r="C13" s="153">
        <f>MAX(A!K77,As!K52,B!K177,Bs!K60,'C'!K53,D!K65,E!K60,Es!K40,F!K48,Fs!K42,G!K44,Gs!K37,H!K39,I!K39,J!K34,K!K28,Ks!K25)</f>
        <v>0.74000000000000199</v>
      </c>
      <c r="O13" s="206"/>
    </row>
    <row r="14" spans="1:15">
      <c r="A14" s="101"/>
      <c r="B14" s="102" t="s">
        <v>131</v>
      </c>
      <c r="C14" s="207">
        <f>C9+C12</f>
        <v>29.03</v>
      </c>
      <c r="O14" s="206"/>
    </row>
    <row r="15" spans="1:15">
      <c r="A15" s="101"/>
      <c r="B15" s="102" t="s">
        <v>137</v>
      </c>
      <c r="C15" s="207">
        <f>C9+C13</f>
        <v>26.14</v>
      </c>
      <c r="O15" s="206"/>
    </row>
    <row r="16" spans="1:15">
      <c r="O16" s="206"/>
    </row>
    <row r="17" spans="2:15">
      <c r="B17" s="102" t="s">
        <v>159</v>
      </c>
      <c r="C17" s="57">
        <f>Cuts!B16</f>
        <v>27</v>
      </c>
      <c r="O17" s="206"/>
    </row>
    <row r="18" spans="2:15">
      <c r="B18" s="102" t="s">
        <v>205</v>
      </c>
      <c r="C18" s="153">
        <f>C17-C10</f>
        <v>0.81374023437504306</v>
      </c>
      <c r="O18" s="206"/>
    </row>
    <row r="19" spans="2:15">
      <c r="B19" s="102" t="s">
        <v>206</v>
      </c>
      <c r="C19" s="153">
        <f>C17-C15</f>
        <v>0.85999999999999943</v>
      </c>
      <c r="O19" s="206"/>
    </row>
    <row r="20" spans="2:15">
      <c r="B20" s="102" t="s">
        <v>207</v>
      </c>
      <c r="C20" s="57">
        <f>Cuts!B17</f>
        <v>7</v>
      </c>
      <c r="O20" s="206"/>
    </row>
    <row r="21" spans="2:15">
      <c r="O21" s="206"/>
    </row>
    <row r="22" spans="2:15">
      <c r="O22" s="206"/>
    </row>
    <row r="23" spans="2:15">
      <c r="O23" s="206"/>
    </row>
    <row r="24" spans="2:15">
      <c r="O24" s="206"/>
    </row>
    <row r="25" spans="2:15">
      <c r="O25" s="206"/>
    </row>
    <row r="26" spans="2:15">
      <c r="O26" s="206"/>
    </row>
    <row r="27" spans="2:15">
      <c r="O27" s="206"/>
    </row>
    <row r="28" spans="2:15">
      <c r="O28" s="206"/>
    </row>
    <row r="29" spans="2:15">
      <c r="O29" s="206"/>
    </row>
    <row r="30" spans="2:15">
      <c r="O30" s="206"/>
    </row>
    <row r="36" spans="1:3">
      <c r="A36" s="208" t="s">
        <v>132</v>
      </c>
      <c r="B36" s="102"/>
    </row>
    <row r="37" spans="1:3">
      <c r="A37" s="101"/>
      <c r="B37" s="209" t="s">
        <v>138</v>
      </c>
    </row>
    <row r="38" spans="1:3">
      <c r="A38" s="101"/>
      <c r="B38" s="102" t="s">
        <v>188</v>
      </c>
      <c r="C38" s="210">
        <f>8*25.4</f>
        <v>203.2</v>
      </c>
    </row>
    <row r="39" spans="1:3">
      <c r="A39" s="101"/>
      <c r="B39" s="210" t="s">
        <v>204</v>
      </c>
      <c r="C39" s="211">
        <f>'Aggregate Data'!AQ21</f>
        <v>204.04622871046229</v>
      </c>
    </row>
    <row r="40" spans="1:3">
      <c r="A40" s="101"/>
      <c r="B40" s="210"/>
      <c r="C40" s="210"/>
    </row>
    <row r="41" spans="1:3" ht="30">
      <c r="A41" s="101"/>
      <c r="B41" s="102" t="s">
        <v>124</v>
      </c>
      <c r="C41" s="212">
        <f>MAX(A!C76,B!C176,'C'!C52,D!C64,E!C59,F!C47,G!C43,H!C38,I!C38,J!C33,K!C27)</f>
        <v>2.8000000000000114</v>
      </c>
    </row>
    <row r="42" spans="1:3" ht="30">
      <c r="A42" s="101"/>
      <c r="B42" s="102" t="s">
        <v>125</v>
      </c>
      <c r="C42" s="212">
        <f>MIN(A!C77,B!C177,'C'!C53,D!C65,E!C60,F!C48,G!C44,H!C39,I!C39,J!C34,K!C28)</f>
        <v>-0.19999999999998863</v>
      </c>
    </row>
    <row r="43" spans="1:3">
      <c r="A43" s="109"/>
      <c r="B43" s="102" t="s">
        <v>139</v>
      </c>
      <c r="C43" s="213">
        <f>C41+(8*25.4)</f>
        <v>206</v>
      </c>
    </row>
    <row r="44" spans="1:3">
      <c r="A44" s="109"/>
      <c r="B44" s="102" t="s">
        <v>140</v>
      </c>
      <c r="C44" s="210">
        <f>8*25.4+C42</f>
        <v>203</v>
      </c>
    </row>
    <row r="45" spans="1:3">
      <c r="A45" s="109"/>
      <c r="B45" s="210"/>
      <c r="C45" s="210"/>
    </row>
    <row r="46" spans="1:3">
      <c r="A46" s="109"/>
      <c r="B46" s="102" t="s">
        <v>159</v>
      </c>
      <c r="C46" s="210">
        <f>Cuts!C16</f>
        <v>206</v>
      </c>
    </row>
    <row r="47" spans="1:3">
      <c r="A47" s="109"/>
      <c r="B47" s="102" t="s">
        <v>205</v>
      </c>
      <c r="C47" s="212">
        <f>C46-C39</f>
        <v>1.9537712895377126</v>
      </c>
    </row>
    <row r="48" spans="1:3">
      <c r="A48" s="109"/>
      <c r="B48" s="102" t="s">
        <v>206</v>
      </c>
      <c r="C48" s="57">
        <f>C46-C44</f>
        <v>3</v>
      </c>
    </row>
    <row r="49" spans="1:3">
      <c r="A49" s="109"/>
      <c r="B49" s="102" t="s">
        <v>207</v>
      </c>
      <c r="C49" s="57">
        <f>Cuts!C17</f>
        <v>0</v>
      </c>
    </row>
    <row r="50" spans="1:3">
      <c r="A50" s="109"/>
    </row>
    <row r="51" spans="1:3">
      <c r="A51" s="109"/>
    </row>
    <row r="52" spans="1:3">
      <c r="A52" s="109"/>
      <c r="B52" s="214" t="s">
        <v>141</v>
      </c>
      <c r="C52" s="210"/>
    </row>
    <row r="53" spans="1:3">
      <c r="A53" s="109"/>
      <c r="B53" s="210" t="s">
        <v>188</v>
      </c>
      <c r="C53" s="210">
        <f>4*25.4</f>
        <v>101.6</v>
      </c>
    </row>
    <row r="54" spans="1:3">
      <c r="A54" s="109"/>
      <c r="C54" s="121">
        <f>'Aggregate Data'!BQ21</f>
        <v>102.37711864406779</v>
      </c>
    </row>
    <row r="55" spans="1:3">
      <c r="A55" s="109"/>
    </row>
    <row r="56" spans="1:3" ht="30">
      <c r="A56" s="109"/>
      <c r="B56" s="102" t="s">
        <v>124</v>
      </c>
      <c r="C56" s="207">
        <f>MAX(As!C51,Bs!C59,Es!C39,Fs!C41,Gs!C36,Ks!C24)</f>
        <v>1.4000000000000057</v>
      </c>
    </row>
    <row r="57" spans="1:3" ht="30">
      <c r="A57" s="109"/>
      <c r="B57" s="102" t="s">
        <v>125</v>
      </c>
      <c r="C57" s="207">
        <f>MIN(As!C52,Bs!C60,Es!C40,Fs!C42,Gs!C37,Ks!C25)</f>
        <v>0.40000000000000568</v>
      </c>
    </row>
    <row r="58" spans="1:3">
      <c r="A58" s="109"/>
      <c r="B58" s="102" t="s">
        <v>139</v>
      </c>
      <c r="C58" s="210">
        <f>4*25.4+C56</f>
        <v>103</v>
      </c>
    </row>
    <row r="59" spans="1:3">
      <c r="A59" s="109"/>
      <c r="B59" s="102" t="s">
        <v>140</v>
      </c>
      <c r="C59" s="210">
        <f>4*25.4+C57</f>
        <v>102</v>
      </c>
    </row>
    <row r="60" spans="1:3">
      <c r="A60" s="109"/>
    </row>
    <row r="61" spans="1:3">
      <c r="A61" s="109"/>
      <c r="B61" s="102" t="s">
        <v>211</v>
      </c>
      <c r="C61" s="57">
        <f>Cuts!D16</f>
        <v>103</v>
      </c>
    </row>
    <row r="62" spans="1:3">
      <c r="A62" s="109"/>
      <c r="B62" s="102" t="s">
        <v>205</v>
      </c>
      <c r="C62" s="65">
        <f>C61-C54</f>
        <v>0.62288135593220773</v>
      </c>
    </row>
    <row r="63" spans="1:3">
      <c r="A63" s="109"/>
      <c r="B63" s="102" t="s">
        <v>206</v>
      </c>
      <c r="C63" s="57">
        <f>C61-C59</f>
        <v>1</v>
      </c>
    </row>
    <row r="64" spans="1:3">
      <c r="A64" s="109"/>
      <c r="B64" s="102" t="s">
        <v>207</v>
      </c>
      <c r="C64" s="57">
        <f>Cuts!D17</f>
        <v>0</v>
      </c>
    </row>
    <row r="65" spans="1:2">
      <c r="A65" s="109"/>
      <c r="B65" s="102"/>
    </row>
    <row r="66" spans="1:2">
      <c r="A66" s="109"/>
      <c r="B66" s="102"/>
    </row>
    <row r="67" spans="1:2">
      <c r="A67" s="109"/>
      <c r="B67" s="102"/>
    </row>
    <row r="68" spans="1:2">
      <c r="A68" s="109"/>
      <c r="B68" s="102"/>
    </row>
    <row r="69" spans="1:2">
      <c r="A69" s="109"/>
      <c r="B69" s="102"/>
    </row>
    <row r="70" spans="1:2">
      <c r="A70" s="109"/>
      <c r="B70" s="102"/>
    </row>
    <row r="71" spans="1:2">
      <c r="A71" s="109"/>
      <c r="B71" s="102"/>
    </row>
    <row r="72" spans="1:2">
      <c r="A72" s="109"/>
      <c r="B72" s="102"/>
    </row>
    <row r="73" spans="1:2">
      <c r="A73" s="109"/>
      <c r="B73" s="102"/>
    </row>
    <row r="74" spans="1:2">
      <c r="A74" s="109"/>
      <c r="B74" s="102"/>
    </row>
    <row r="75" spans="1:2">
      <c r="A75" s="109"/>
      <c r="B75" s="102"/>
    </row>
    <row r="76" spans="1:2">
      <c r="A76" s="109"/>
      <c r="B76" s="102"/>
    </row>
    <row r="77" spans="1:2">
      <c r="A77" s="109"/>
      <c r="B77" s="102"/>
    </row>
    <row r="78" spans="1:2">
      <c r="A78" s="109"/>
      <c r="B78" s="102"/>
    </row>
    <row r="79" spans="1:2">
      <c r="A79" s="109"/>
      <c r="B79" s="102"/>
    </row>
    <row r="80" spans="1:2">
      <c r="A80" s="109"/>
      <c r="B80" s="102"/>
    </row>
    <row r="81" spans="1:2">
      <c r="A81" s="109"/>
      <c r="B81" s="102"/>
    </row>
    <row r="82" spans="1:2">
      <c r="A82" s="109"/>
      <c r="B82" s="102"/>
    </row>
    <row r="83" spans="1:2">
      <c r="A83" s="109"/>
      <c r="B83" s="102"/>
    </row>
    <row r="84" spans="1:2">
      <c r="A84" s="109"/>
      <c r="B84" s="102"/>
    </row>
    <row r="85" spans="1:2">
      <c r="A85" s="109"/>
      <c r="B85" s="102"/>
    </row>
    <row r="86" spans="1:2">
      <c r="A86" s="109"/>
      <c r="B86" s="102"/>
    </row>
    <row r="87" spans="1:2">
      <c r="A87" s="109"/>
      <c r="B87" s="102"/>
    </row>
    <row r="88" spans="1:2">
      <c r="A88" s="109"/>
    </row>
    <row r="89" spans="1:2">
      <c r="A89" s="109"/>
    </row>
    <row r="90" spans="1:2">
      <c r="A90" s="109"/>
    </row>
    <row r="91" spans="1:2">
      <c r="A91" s="109"/>
    </row>
  </sheetData>
  <sortState ref="O9:O30">
    <sortCondition ref="O9"/>
  </sortState>
  <pageMargins left="0.2" right="0.2" top="0.5" bottom="0.5" header="0.3" footer="0.3"/>
  <pageSetup scale="99" orientation="landscape" horizontalDpi="200" verticalDpi="2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5"/>
  <sheetViews>
    <sheetView topLeftCell="A85" zoomScaleNormal="100" workbookViewId="0">
      <selection activeCell="G104" sqref="G104"/>
    </sheetView>
  </sheetViews>
  <sheetFormatPr defaultRowHeight="15"/>
  <cols>
    <col min="1" max="16384" width="9.140625" style="57"/>
  </cols>
  <sheetData>
    <row r="1" spans="1:1">
      <c r="A1" s="57" t="s">
        <v>0</v>
      </c>
    </row>
    <row r="2" spans="1:1">
      <c r="A2" s="57" t="s">
        <v>1</v>
      </c>
    </row>
    <row r="3" spans="1:1">
      <c r="A3" s="57" t="s">
        <v>214</v>
      </c>
    </row>
    <row r="5" spans="1:1">
      <c r="A5" s="57" t="s">
        <v>215</v>
      </c>
    </row>
  </sheetData>
  <pageMargins left="0.2" right="0.2" top="0.5" bottom="0.5" header="0.3" footer="0.3"/>
  <pageSetup orientation="landscape" horizontalDpi="200" verticalDpi="2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Q181"/>
  <sheetViews>
    <sheetView zoomScale="70" zoomScaleNormal="70" workbookViewId="0">
      <selection activeCell="J23" sqref="J23"/>
    </sheetView>
  </sheetViews>
  <sheetFormatPr defaultRowHeight="15"/>
  <cols>
    <col min="1" max="16384" width="9.140625" style="57"/>
  </cols>
  <sheetData>
    <row r="1" spans="1:61">
      <c r="A1" s="57" t="s">
        <v>0</v>
      </c>
    </row>
    <row r="2" spans="1:61">
      <c r="A2" s="57" t="s">
        <v>1</v>
      </c>
    </row>
    <row r="3" spans="1:61">
      <c r="A3" s="57" t="s">
        <v>186</v>
      </c>
    </row>
    <row r="5" spans="1:61">
      <c r="A5" s="3" t="s">
        <v>187</v>
      </c>
      <c r="B5" s="3"/>
      <c r="C5" s="3"/>
    </row>
    <row r="8" spans="1:61" ht="15.75" thickBot="1"/>
    <row r="9" spans="1:61">
      <c r="A9" s="57" t="s">
        <v>146</v>
      </c>
      <c r="C9" s="57" t="s">
        <v>150</v>
      </c>
      <c r="J9" s="40" t="s">
        <v>147</v>
      </c>
      <c r="K9" s="40" t="s">
        <v>149</v>
      </c>
      <c r="AA9" s="57" t="s">
        <v>151</v>
      </c>
      <c r="AC9" s="57" t="s">
        <v>152</v>
      </c>
      <c r="AJ9" s="40" t="s">
        <v>147</v>
      </c>
      <c r="AK9" s="40" t="s">
        <v>149</v>
      </c>
      <c r="BA9" s="57" t="s">
        <v>151</v>
      </c>
      <c r="BC9" s="57" t="s">
        <v>153</v>
      </c>
      <c r="BH9" s="40" t="s">
        <v>147</v>
      </c>
      <c r="BI9" s="40" t="s">
        <v>149</v>
      </c>
    </row>
    <row r="10" spans="1:61">
      <c r="J10" s="123">
        <v>25</v>
      </c>
      <c r="K10" s="124">
        <v>0</v>
      </c>
      <c r="AA10" s="57">
        <v>200</v>
      </c>
      <c r="AC10" s="75">
        <v>204</v>
      </c>
      <c r="AD10" s="75">
        <v>204</v>
      </c>
      <c r="AE10" s="173">
        <v>204</v>
      </c>
      <c r="AF10" s="173">
        <v>204</v>
      </c>
      <c r="AG10" s="61">
        <v>204</v>
      </c>
      <c r="AH10" s="61">
        <v>204</v>
      </c>
      <c r="AJ10" s="123">
        <v>200</v>
      </c>
      <c r="AK10" s="124">
        <v>0</v>
      </c>
      <c r="BA10" s="57">
        <v>100</v>
      </c>
      <c r="BC10" s="75">
        <v>102</v>
      </c>
      <c r="BD10" s="75">
        <v>102</v>
      </c>
      <c r="BE10" s="161">
        <v>102</v>
      </c>
      <c r="BF10" s="162">
        <v>102</v>
      </c>
      <c r="BH10" s="123">
        <v>100</v>
      </c>
      <c r="BI10" s="124">
        <v>0</v>
      </c>
    </row>
    <row r="11" spans="1:61">
      <c r="A11" s="57">
        <v>25</v>
      </c>
      <c r="C11" s="101">
        <v>26.34</v>
      </c>
      <c r="D11" s="102">
        <v>26.3</v>
      </c>
      <c r="E11" s="102">
        <v>26.17</v>
      </c>
      <c r="F11" s="101">
        <v>26.11</v>
      </c>
      <c r="G11" s="61">
        <v>27.66</v>
      </c>
      <c r="H11" s="61">
        <v>27.63</v>
      </c>
      <c r="J11" s="123">
        <v>25.2</v>
      </c>
      <c r="K11" s="124">
        <v>0</v>
      </c>
      <c r="AA11" s="57">
        <f>AA10+1</f>
        <v>201</v>
      </c>
      <c r="AC11" s="75">
        <v>204</v>
      </c>
      <c r="AD11" s="75">
        <v>204</v>
      </c>
      <c r="AE11" s="161">
        <v>204</v>
      </c>
      <c r="AF11" s="162">
        <v>204</v>
      </c>
      <c r="AG11" s="172">
        <v>204</v>
      </c>
      <c r="AH11" s="173">
        <v>204</v>
      </c>
      <c r="AJ11" s="123">
        <v>201</v>
      </c>
      <c r="AK11" s="124">
        <v>0</v>
      </c>
      <c r="BA11" s="57">
        <f>BA10+1</f>
        <v>101</v>
      </c>
      <c r="BC11" s="75">
        <v>102</v>
      </c>
      <c r="BD11" s="75">
        <v>102</v>
      </c>
      <c r="BE11" s="161">
        <v>102</v>
      </c>
      <c r="BF11" s="162">
        <v>102</v>
      </c>
      <c r="BH11" s="123">
        <v>101</v>
      </c>
      <c r="BI11" s="124">
        <v>0</v>
      </c>
    </row>
    <row r="12" spans="1:61">
      <c r="A12" s="57">
        <f t="shared" ref="A12:A32" si="0">A11+0.2</f>
        <v>25.2</v>
      </c>
      <c r="C12" s="101">
        <v>26.09</v>
      </c>
      <c r="D12" s="102">
        <v>26.32</v>
      </c>
      <c r="E12" s="102">
        <v>26.22</v>
      </c>
      <c r="F12" s="101">
        <v>26.11</v>
      </c>
      <c r="G12" s="102">
        <v>26.38</v>
      </c>
      <c r="H12" s="101">
        <v>26.29</v>
      </c>
      <c r="J12" s="123">
        <v>25.4</v>
      </c>
      <c r="K12" s="124">
        <v>0</v>
      </c>
      <c r="AA12" s="57">
        <f t="shared" ref="AA12:AA13" si="1">AA11+1</f>
        <v>202</v>
      </c>
      <c r="AC12" s="75">
        <v>204</v>
      </c>
      <c r="AD12" s="75">
        <v>204</v>
      </c>
      <c r="AE12" s="161">
        <v>204</v>
      </c>
      <c r="AF12" s="162">
        <v>204</v>
      </c>
      <c r="AG12" s="172">
        <v>204</v>
      </c>
      <c r="AH12" s="173">
        <v>204</v>
      </c>
      <c r="AJ12" s="123">
        <v>202</v>
      </c>
      <c r="AK12" s="124">
        <v>0</v>
      </c>
      <c r="BA12" s="57">
        <f t="shared" ref="BA12:BA13" si="2">BA11+1</f>
        <v>102</v>
      </c>
      <c r="BC12" s="75">
        <v>102</v>
      </c>
      <c r="BD12" s="75">
        <v>102</v>
      </c>
      <c r="BE12" s="161">
        <v>103</v>
      </c>
      <c r="BF12" s="162">
        <v>102</v>
      </c>
      <c r="BH12" s="123">
        <v>102</v>
      </c>
      <c r="BI12" s="124">
        <v>147</v>
      </c>
    </row>
    <row r="13" spans="1:61">
      <c r="A13" s="57">
        <f t="shared" si="0"/>
        <v>25.4</v>
      </c>
      <c r="C13" s="101">
        <v>26.34</v>
      </c>
      <c r="D13" s="102">
        <v>26.22</v>
      </c>
      <c r="E13" s="102">
        <v>26.2</v>
      </c>
      <c r="F13" s="101">
        <v>26.14</v>
      </c>
      <c r="G13" s="102">
        <v>26.29</v>
      </c>
      <c r="H13" s="101">
        <v>26.39</v>
      </c>
      <c r="J13" s="123">
        <v>25.599999999999998</v>
      </c>
      <c r="K13" s="124">
        <v>8</v>
      </c>
      <c r="AA13" s="57">
        <f t="shared" si="1"/>
        <v>203</v>
      </c>
      <c r="AC13" s="75">
        <v>203</v>
      </c>
      <c r="AD13" s="75">
        <v>203</v>
      </c>
      <c r="AE13" s="161">
        <v>204</v>
      </c>
      <c r="AF13" s="162">
        <v>204</v>
      </c>
      <c r="AG13" s="172">
        <v>204</v>
      </c>
      <c r="AH13" s="173">
        <v>204</v>
      </c>
      <c r="AJ13" s="123">
        <v>203</v>
      </c>
      <c r="AK13" s="124">
        <v>19</v>
      </c>
      <c r="BA13" s="57">
        <f t="shared" si="2"/>
        <v>103</v>
      </c>
      <c r="BC13" s="75">
        <v>102</v>
      </c>
      <c r="BD13" s="75">
        <v>102</v>
      </c>
      <c r="BE13" s="161">
        <v>102</v>
      </c>
      <c r="BF13" s="162">
        <v>103</v>
      </c>
      <c r="BH13" s="123">
        <v>103</v>
      </c>
      <c r="BI13" s="124">
        <v>89</v>
      </c>
    </row>
    <row r="14" spans="1:61">
      <c r="A14" s="57">
        <f t="shared" si="0"/>
        <v>25.599999999999998</v>
      </c>
      <c r="C14" s="101">
        <v>26.2</v>
      </c>
      <c r="D14" s="102">
        <v>26.1</v>
      </c>
      <c r="E14" s="102">
        <v>26.22</v>
      </c>
      <c r="F14" s="101">
        <v>26.09</v>
      </c>
      <c r="G14" s="102">
        <v>26.38</v>
      </c>
      <c r="H14" s="101">
        <v>26.42</v>
      </c>
      <c r="J14" s="123">
        <v>25.799999999999997</v>
      </c>
      <c r="K14" s="124">
        <v>56</v>
      </c>
      <c r="AA14" s="57">
        <f>AA13+1</f>
        <v>204</v>
      </c>
      <c r="AC14" s="75">
        <v>203</v>
      </c>
      <c r="AD14" s="75">
        <v>203</v>
      </c>
      <c r="AE14" s="161">
        <v>204</v>
      </c>
      <c r="AF14" s="162">
        <v>204</v>
      </c>
      <c r="AG14" s="172">
        <v>204</v>
      </c>
      <c r="AH14" s="173">
        <v>204</v>
      </c>
      <c r="AJ14" s="123">
        <v>204</v>
      </c>
      <c r="AK14" s="124">
        <v>764</v>
      </c>
      <c r="BA14" s="57">
        <f>BA13+1</f>
        <v>104</v>
      </c>
      <c r="BC14" s="75">
        <v>102</v>
      </c>
      <c r="BD14" s="75">
        <v>102</v>
      </c>
      <c r="BE14" s="161">
        <v>102</v>
      </c>
      <c r="BF14" s="162">
        <v>102</v>
      </c>
      <c r="BH14" s="123">
        <v>104</v>
      </c>
      <c r="BI14" s="124">
        <v>0</v>
      </c>
    </row>
    <row r="15" spans="1:61">
      <c r="A15" s="57">
        <f t="shared" si="0"/>
        <v>25.799999999999997</v>
      </c>
      <c r="C15" s="101">
        <v>26.31</v>
      </c>
      <c r="D15" s="102">
        <v>26.29</v>
      </c>
      <c r="E15" s="102">
        <v>26.12</v>
      </c>
      <c r="F15" s="101">
        <v>26.13</v>
      </c>
      <c r="G15" s="102">
        <v>26.38</v>
      </c>
      <c r="H15" s="101">
        <v>26.31</v>
      </c>
      <c r="J15" s="123">
        <v>25.999999999999996</v>
      </c>
      <c r="K15" s="124">
        <v>99</v>
      </c>
      <c r="AA15" s="57">
        <f>AA14+1</f>
        <v>205</v>
      </c>
      <c r="AC15" s="75">
        <v>203</v>
      </c>
      <c r="AD15" s="75">
        <v>203</v>
      </c>
      <c r="AE15" s="161">
        <v>204</v>
      </c>
      <c r="AF15" s="162">
        <v>204</v>
      </c>
      <c r="AG15" s="172">
        <v>204</v>
      </c>
      <c r="AH15" s="173">
        <v>204</v>
      </c>
      <c r="AJ15" s="123">
        <v>205</v>
      </c>
      <c r="AK15" s="124">
        <v>21</v>
      </c>
      <c r="BA15" s="57">
        <f>BA14+1</f>
        <v>105</v>
      </c>
      <c r="BC15" s="75">
        <v>102</v>
      </c>
      <c r="BD15" s="75">
        <v>102</v>
      </c>
      <c r="BE15" s="161">
        <v>102</v>
      </c>
      <c r="BF15" s="162">
        <v>102</v>
      </c>
      <c r="BH15" s="123">
        <v>105</v>
      </c>
      <c r="BI15" s="124">
        <v>0</v>
      </c>
    </row>
    <row r="16" spans="1:61" ht="15.75" thickBot="1">
      <c r="A16" s="57">
        <f t="shared" si="0"/>
        <v>25.999999999999996</v>
      </c>
      <c r="C16" s="101">
        <v>26.27</v>
      </c>
      <c r="D16" s="102">
        <v>26.02</v>
      </c>
      <c r="E16" s="102">
        <v>26.16</v>
      </c>
      <c r="F16" s="101">
        <v>26.13</v>
      </c>
      <c r="G16" s="102">
        <v>26.45</v>
      </c>
      <c r="H16" s="101">
        <v>26.28</v>
      </c>
      <c r="J16" s="123">
        <v>26.199999999999996</v>
      </c>
      <c r="K16" s="124">
        <v>345</v>
      </c>
      <c r="AA16" s="57">
        <f>AA15+1</f>
        <v>206</v>
      </c>
      <c r="AC16" s="75">
        <v>203</v>
      </c>
      <c r="AD16" s="75">
        <v>203</v>
      </c>
      <c r="AE16" s="161">
        <v>204</v>
      </c>
      <c r="AF16" s="162">
        <v>204</v>
      </c>
      <c r="AG16" s="172">
        <v>204</v>
      </c>
      <c r="AH16" s="173">
        <v>204</v>
      </c>
      <c r="AJ16" s="123">
        <v>206</v>
      </c>
      <c r="AK16" s="124">
        <v>18</v>
      </c>
      <c r="BC16" s="75">
        <v>102</v>
      </c>
      <c r="BD16" s="75">
        <v>102</v>
      </c>
      <c r="BE16" s="161">
        <v>102</v>
      </c>
      <c r="BF16" s="162">
        <v>102</v>
      </c>
      <c r="BH16" s="125" t="s">
        <v>148</v>
      </c>
      <c r="BI16" s="125">
        <v>0</v>
      </c>
    </row>
    <row r="17" spans="1:69">
      <c r="A17" s="57">
        <f t="shared" si="0"/>
        <v>26.199999999999996</v>
      </c>
      <c r="C17" s="101">
        <v>26.27</v>
      </c>
      <c r="D17" s="102">
        <v>26.33</v>
      </c>
      <c r="E17" s="102">
        <v>26.1</v>
      </c>
      <c r="F17" s="101">
        <v>26.24</v>
      </c>
      <c r="G17" s="102">
        <v>26.47</v>
      </c>
      <c r="H17" s="101">
        <v>26.29</v>
      </c>
      <c r="J17" s="123">
        <v>26.399999999999995</v>
      </c>
      <c r="K17" s="124">
        <v>414</v>
      </c>
      <c r="AA17" s="57">
        <f t="shared" ref="AA17" si="3">AA16+1</f>
        <v>207</v>
      </c>
      <c r="AC17" s="75">
        <v>204</v>
      </c>
      <c r="AD17" s="75">
        <v>204</v>
      </c>
      <c r="AE17" s="161">
        <v>204</v>
      </c>
      <c r="AF17" s="162">
        <v>204</v>
      </c>
      <c r="AG17" s="172">
        <v>204</v>
      </c>
      <c r="AH17" s="173">
        <v>204</v>
      </c>
      <c r="AJ17" s="123">
        <v>207</v>
      </c>
      <c r="AK17" s="124">
        <v>0</v>
      </c>
      <c r="BC17" s="75">
        <v>102</v>
      </c>
      <c r="BD17" s="75">
        <v>102</v>
      </c>
      <c r="BE17" s="161">
        <v>102</v>
      </c>
      <c r="BF17" s="162">
        <v>102</v>
      </c>
    </row>
    <row r="18" spans="1:69" ht="15.75" thickBot="1">
      <c r="A18" s="57">
        <f t="shared" si="0"/>
        <v>26.399999999999995</v>
      </c>
      <c r="C18" s="101">
        <v>26.11</v>
      </c>
      <c r="D18" s="102">
        <v>26.19</v>
      </c>
      <c r="E18" s="102">
        <v>26.11</v>
      </c>
      <c r="F18" s="101">
        <v>26.13</v>
      </c>
      <c r="G18" s="102">
        <v>26.26</v>
      </c>
      <c r="H18" s="101">
        <v>26.47</v>
      </c>
      <c r="J18" s="123">
        <v>26.599999999999994</v>
      </c>
      <c r="K18" s="124">
        <v>79</v>
      </c>
      <c r="AC18" s="75">
        <v>203</v>
      </c>
      <c r="AD18" s="75">
        <v>203</v>
      </c>
      <c r="AE18" s="161">
        <v>204</v>
      </c>
      <c r="AF18" s="162">
        <v>204</v>
      </c>
      <c r="AG18" s="172">
        <v>204</v>
      </c>
      <c r="AH18" s="173">
        <v>204</v>
      </c>
      <c r="AJ18" s="125" t="s">
        <v>148</v>
      </c>
      <c r="AK18" s="125">
        <v>0</v>
      </c>
      <c r="BC18" s="75">
        <v>102</v>
      </c>
      <c r="BD18" s="75">
        <v>102</v>
      </c>
      <c r="BE18" s="161">
        <v>102</v>
      </c>
      <c r="BF18" s="162">
        <v>102</v>
      </c>
    </row>
    <row r="19" spans="1:69">
      <c r="A19" s="57">
        <f t="shared" si="0"/>
        <v>26.599999999999994</v>
      </c>
      <c r="C19" s="101">
        <v>26.22</v>
      </c>
      <c r="D19" s="102">
        <v>26.32</v>
      </c>
      <c r="E19" s="102">
        <v>26.15</v>
      </c>
      <c r="F19" s="102">
        <v>26.12</v>
      </c>
      <c r="G19" s="102">
        <v>26.18</v>
      </c>
      <c r="H19" s="101">
        <v>26.49</v>
      </c>
      <c r="J19" s="123">
        <v>26.799999999999994</v>
      </c>
      <c r="K19" s="124">
        <v>8</v>
      </c>
      <c r="AC19" s="75">
        <v>204</v>
      </c>
      <c r="AD19" s="75">
        <v>204</v>
      </c>
      <c r="AE19" s="161">
        <v>204</v>
      </c>
      <c r="AF19" s="162">
        <v>204</v>
      </c>
      <c r="AG19" s="172">
        <v>204</v>
      </c>
      <c r="AH19" s="173">
        <v>204</v>
      </c>
      <c r="BC19" s="75">
        <v>102</v>
      </c>
      <c r="BD19" s="75">
        <v>102</v>
      </c>
      <c r="BE19" s="161">
        <v>102</v>
      </c>
      <c r="BF19" s="162">
        <v>102</v>
      </c>
    </row>
    <row r="20" spans="1:69">
      <c r="A20" s="57">
        <f t="shared" si="0"/>
        <v>26.799999999999994</v>
      </c>
      <c r="C20" s="101">
        <v>26.38</v>
      </c>
      <c r="D20" s="102">
        <v>26.43</v>
      </c>
      <c r="E20" s="102">
        <v>26.13</v>
      </c>
      <c r="F20" s="101">
        <v>26.13</v>
      </c>
      <c r="G20" s="102">
        <v>26.32</v>
      </c>
      <c r="H20" s="101">
        <v>26.4</v>
      </c>
      <c r="J20" s="123">
        <v>26.999999999999993</v>
      </c>
      <c r="K20" s="124">
        <v>4</v>
      </c>
      <c r="O20" s="3" t="s">
        <v>200</v>
      </c>
      <c r="AC20" s="75">
        <v>204</v>
      </c>
      <c r="AD20" s="75">
        <v>203</v>
      </c>
      <c r="AE20" s="161">
        <v>204</v>
      </c>
      <c r="AF20" s="162">
        <v>204</v>
      </c>
      <c r="AG20" s="172">
        <v>204</v>
      </c>
      <c r="AH20" s="173">
        <v>204</v>
      </c>
      <c r="AO20" s="3" t="s">
        <v>208</v>
      </c>
      <c r="BC20" s="75">
        <v>102</v>
      </c>
      <c r="BD20" s="75">
        <v>102</v>
      </c>
      <c r="BE20" s="161">
        <v>102</v>
      </c>
      <c r="BF20" s="162">
        <v>102</v>
      </c>
      <c r="BO20" s="3" t="s">
        <v>210</v>
      </c>
    </row>
    <row r="21" spans="1:69">
      <c r="A21" s="57">
        <f t="shared" si="0"/>
        <v>26.999999999999993</v>
      </c>
      <c r="C21" s="101">
        <v>26.35</v>
      </c>
      <c r="D21" s="102">
        <v>26.06</v>
      </c>
      <c r="E21" s="102">
        <v>26.21</v>
      </c>
      <c r="F21" s="101">
        <v>26.2</v>
      </c>
      <c r="G21" s="102">
        <v>26.36</v>
      </c>
      <c r="H21" s="101">
        <v>26.34</v>
      </c>
      <c r="J21" s="123">
        <v>27.199999999999992</v>
      </c>
      <c r="K21" s="124">
        <v>0</v>
      </c>
      <c r="O21" s="57" t="s">
        <v>202</v>
      </c>
      <c r="Q21" s="153">
        <f>AVERAGE(C11:H180,C181,D181,E181,F181)</f>
        <v>26.186259765624957</v>
      </c>
      <c r="AC21" s="75">
        <v>204</v>
      </c>
      <c r="AD21" s="75">
        <v>204</v>
      </c>
      <c r="AE21" s="161">
        <v>204</v>
      </c>
      <c r="AF21" s="162">
        <v>204</v>
      </c>
      <c r="AG21" s="172">
        <v>204</v>
      </c>
      <c r="AH21" s="173">
        <v>204</v>
      </c>
      <c r="AO21" s="57" t="s">
        <v>190</v>
      </c>
      <c r="AQ21" s="215">
        <f>AVERAGE(AC10:AH145,AC146,AD146,AE146,AF146,AE147,AF147)</f>
        <v>204.04622871046229</v>
      </c>
      <c r="BC21" s="75">
        <v>102</v>
      </c>
      <c r="BD21" s="75">
        <v>102</v>
      </c>
      <c r="BE21" s="161">
        <v>102</v>
      </c>
      <c r="BF21" s="162">
        <v>102</v>
      </c>
      <c r="BO21" s="57" t="s">
        <v>190</v>
      </c>
      <c r="BQ21" s="121">
        <f>AVERAGE(BC10:BF67,BC68,BD68,BC69,BD69)</f>
        <v>102.37711864406779</v>
      </c>
    </row>
    <row r="22" spans="1:69">
      <c r="A22" s="57">
        <f t="shared" si="0"/>
        <v>27.199999999999992</v>
      </c>
      <c r="C22" s="101">
        <v>26.36</v>
      </c>
      <c r="D22" s="102">
        <v>26.16</v>
      </c>
      <c r="E22" s="102">
        <v>26.22</v>
      </c>
      <c r="F22" s="101">
        <v>26.19</v>
      </c>
      <c r="G22" s="102">
        <v>26.3</v>
      </c>
      <c r="H22" s="101">
        <v>26.38</v>
      </c>
      <c r="J22" s="123">
        <v>27.399999999999991</v>
      </c>
      <c r="K22" s="124">
        <v>0</v>
      </c>
      <c r="O22" s="57" t="s">
        <v>154</v>
      </c>
      <c r="Q22" s="57">
        <f>Cuts!B16</f>
        <v>27</v>
      </c>
      <c r="AC22" s="75">
        <v>204</v>
      </c>
      <c r="AD22" s="75">
        <v>204</v>
      </c>
      <c r="AE22" s="161">
        <v>204</v>
      </c>
      <c r="AF22" s="162">
        <v>204</v>
      </c>
      <c r="AG22" s="172">
        <v>204</v>
      </c>
      <c r="AH22" s="173">
        <v>204</v>
      </c>
      <c r="AO22" s="57" t="s">
        <v>209</v>
      </c>
      <c r="AQ22" s="57">
        <f>Cuts!C16</f>
        <v>206</v>
      </c>
      <c r="BC22" s="75">
        <v>102</v>
      </c>
      <c r="BD22" s="75">
        <v>102</v>
      </c>
      <c r="BE22" s="161">
        <v>102</v>
      </c>
      <c r="BF22" s="162">
        <v>102</v>
      </c>
      <c r="BO22" s="57" t="s">
        <v>209</v>
      </c>
      <c r="BQ22" s="57">
        <f>Cuts!D16</f>
        <v>103</v>
      </c>
    </row>
    <row r="23" spans="1:69">
      <c r="A23" s="57">
        <f t="shared" si="0"/>
        <v>27.399999999999991</v>
      </c>
      <c r="C23" s="101">
        <v>26.29</v>
      </c>
      <c r="D23" s="102">
        <v>26.23</v>
      </c>
      <c r="E23" s="102">
        <v>26.15</v>
      </c>
      <c r="F23" s="101">
        <v>26.17</v>
      </c>
      <c r="G23" s="102">
        <v>26.27</v>
      </c>
      <c r="H23" s="101">
        <v>26.21</v>
      </c>
      <c r="J23" s="123">
        <v>27.599999999999991</v>
      </c>
      <c r="K23" s="124">
        <v>1</v>
      </c>
      <c r="O23" s="57" t="s">
        <v>162</v>
      </c>
      <c r="Q23" s="57">
        <f>SUM(K21:K32)</f>
        <v>11</v>
      </c>
      <c r="AC23" s="75">
        <v>204</v>
      </c>
      <c r="AD23" s="75">
        <v>204</v>
      </c>
      <c r="AE23" s="161">
        <v>204</v>
      </c>
      <c r="AF23" s="162">
        <v>204</v>
      </c>
      <c r="AG23" s="172">
        <v>204</v>
      </c>
      <c r="AH23" s="173">
        <v>204</v>
      </c>
      <c r="AO23" s="57" t="s">
        <v>203</v>
      </c>
      <c r="AQ23" s="215">
        <f>AQ22-AQ21</f>
        <v>1.9537712895377126</v>
      </c>
      <c r="BC23" s="75">
        <v>102</v>
      </c>
      <c r="BD23" s="75">
        <v>102</v>
      </c>
      <c r="BE23" s="161">
        <v>102</v>
      </c>
      <c r="BF23" s="162">
        <v>102</v>
      </c>
      <c r="BO23" s="57" t="s">
        <v>205</v>
      </c>
      <c r="BQ23" s="121">
        <f>BQ22-BQ21</f>
        <v>0.62288135593220773</v>
      </c>
    </row>
    <row r="24" spans="1:69">
      <c r="A24" s="57">
        <f t="shared" si="0"/>
        <v>27.599999999999991</v>
      </c>
      <c r="C24" s="101">
        <v>26.18</v>
      </c>
      <c r="D24" s="102">
        <v>26.32</v>
      </c>
      <c r="E24" s="102">
        <v>26.24</v>
      </c>
      <c r="F24" s="101">
        <v>26.19</v>
      </c>
      <c r="G24" s="102">
        <v>26.17</v>
      </c>
      <c r="H24" s="101">
        <v>26.14</v>
      </c>
      <c r="J24" s="123">
        <v>27.79999999999999</v>
      </c>
      <c r="K24" s="124">
        <v>2</v>
      </c>
      <c r="O24" s="57" t="s">
        <v>201</v>
      </c>
      <c r="Q24" s="57">
        <f>Cuts!B17</f>
        <v>7</v>
      </c>
      <c r="AC24" s="75">
        <v>204</v>
      </c>
      <c r="AD24" s="75">
        <v>204</v>
      </c>
      <c r="AE24" s="161">
        <v>204</v>
      </c>
      <c r="AF24" s="162">
        <v>204</v>
      </c>
      <c r="AG24" s="172">
        <v>204</v>
      </c>
      <c r="AH24" s="173">
        <v>204</v>
      </c>
      <c r="BC24" s="75">
        <v>102</v>
      </c>
      <c r="BD24" s="75">
        <v>102</v>
      </c>
      <c r="BE24" s="161">
        <v>102</v>
      </c>
      <c r="BF24" s="162">
        <v>102</v>
      </c>
    </row>
    <row r="25" spans="1:69">
      <c r="A25" s="57">
        <f t="shared" si="0"/>
        <v>27.79999999999999</v>
      </c>
      <c r="C25" s="101">
        <v>26.34</v>
      </c>
      <c r="D25" s="102">
        <v>25.93</v>
      </c>
      <c r="E25" s="102">
        <v>26.18</v>
      </c>
      <c r="F25" s="101">
        <v>26.14</v>
      </c>
      <c r="G25" s="102">
        <v>26.28</v>
      </c>
      <c r="H25" s="101">
        <v>26.3</v>
      </c>
      <c r="J25" s="123">
        <v>27.999999999999989</v>
      </c>
      <c r="K25" s="124">
        <v>1</v>
      </c>
      <c r="O25" s="57" t="s">
        <v>203</v>
      </c>
      <c r="Q25" s="153">
        <f>Q22-Q21</f>
        <v>0.81374023437504306</v>
      </c>
      <c r="AC25" s="75">
        <v>204</v>
      </c>
      <c r="AD25" s="75">
        <v>204</v>
      </c>
      <c r="AE25" s="161">
        <v>204</v>
      </c>
      <c r="AF25" s="162">
        <v>204</v>
      </c>
      <c r="AG25" s="172">
        <v>204</v>
      </c>
      <c r="AH25" s="173">
        <v>204</v>
      </c>
      <c r="BC25" s="75">
        <v>102</v>
      </c>
      <c r="BD25" s="75">
        <v>102</v>
      </c>
      <c r="BE25" s="161">
        <v>102</v>
      </c>
      <c r="BF25" s="162">
        <v>102</v>
      </c>
    </row>
    <row r="26" spans="1:69">
      <c r="A26" s="57">
        <f t="shared" si="0"/>
        <v>27.999999999999989</v>
      </c>
      <c r="C26" s="101">
        <v>26.25</v>
      </c>
      <c r="D26" s="102">
        <v>26.19</v>
      </c>
      <c r="E26" s="102">
        <v>26.15</v>
      </c>
      <c r="F26" s="101">
        <v>26.15</v>
      </c>
      <c r="G26" s="102">
        <v>26.46</v>
      </c>
      <c r="H26" s="101">
        <v>26.25</v>
      </c>
      <c r="J26" s="123">
        <v>28.199999999999989</v>
      </c>
      <c r="K26" s="124">
        <v>0</v>
      </c>
      <c r="AC26" s="75">
        <v>204</v>
      </c>
      <c r="AD26" s="75">
        <v>204</v>
      </c>
      <c r="AE26" s="161">
        <v>204</v>
      </c>
      <c r="AF26" s="162">
        <v>204</v>
      </c>
      <c r="AG26" s="172">
        <v>204</v>
      </c>
      <c r="AH26" s="173">
        <v>204</v>
      </c>
      <c r="BC26" s="75">
        <v>102</v>
      </c>
      <c r="BD26" s="75">
        <v>102</v>
      </c>
      <c r="BE26" s="161">
        <v>102</v>
      </c>
      <c r="BF26" s="162">
        <v>102</v>
      </c>
    </row>
    <row r="27" spans="1:69">
      <c r="A27" s="57">
        <f t="shared" si="0"/>
        <v>28.199999999999989</v>
      </c>
      <c r="C27" s="101">
        <v>26.28</v>
      </c>
      <c r="D27" s="102">
        <v>26.23</v>
      </c>
      <c r="E27" s="102">
        <v>26.04</v>
      </c>
      <c r="F27" s="101">
        <v>26.25</v>
      </c>
      <c r="G27" s="102">
        <v>26.34</v>
      </c>
      <c r="H27" s="101">
        <v>26.29</v>
      </c>
      <c r="J27" s="123">
        <v>28.399999999999988</v>
      </c>
      <c r="K27" s="124">
        <v>4</v>
      </c>
      <c r="AC27" s="75">
        <v>204</v>
      </c>
      <c r="AD27" s="75">
        <v>204</v>
      </c>
      <c r="AE27" s="161">
        <v>204</v>
      </c>
      <c r="AF27" s="162">
        <v>204</v>
      </c>
      <c r="AG27" s="172">
        <v>204</v>
      </c>
      <c r="AH27" s="173">
        <v>204</v>
      </c>
      <c r="BC27" s="75">
        <v>102</v>
      </c>
      <c r="BD27" s="75">
        <v>102</v>
      </c>
      <c r="BE27" s="161">
        <v>102</v>
      </c>
      <c r="BF27" s="162">
        <v>102</v>
      </c>
    </row>
    <row r="28" spans="1:69">
      <c r="A28" s="57">
        <f t="shared" si="0"/>
        <v>28.399999999999988</v>
      </c>
      <c r="C28" s="101">
        <v>26.46</v>
      </c>
      <c r="D28" s="102">
        <v>26.3</v>
      </c>
      <c r="E28" s="102">
        <v>26.21</v>
      </c>
      <c r="F28" s="101">
        <v>26.13</v>
      </c>
      <c r="G28" s="102">
        <v>26</v>
      </c>
      <c r="H28" s="101">
        <v>26.19</v>
      </c>
      <c r="J28" s="123">
        <v>28.599999999999987</v>
      </c>
      <c r="K28" s="124">
        <v>2</v>
      </c>
      <c r="AC28" s="75">
        <v>204</v>
      </c>
      <c r="AD28" s="75">
        <v>204</v>
      </c>
      <c r="AE28" s="161">
        <v>204</v>
      </c>
      <c r="AF28" s="162">
        <v>204</v>
      </c>
      <c r="AG28" s="172">
        <v>204</v>
      </c>
      <c r="AH28" s="173">
        <v>204</v>
      </c>
      <c r="BC28" s="75">
        <v>102</v>
      </c>
      <c r="BD28" s="75">
        <v>102</v>
      </c>
      <c r="BE28" s="161">
        <v>102</v>
      </c>
      <c r="BF28" s="162">
        <v>102</v>
      </c>
    </row>
    <row r="29" spans="1:69">
      <c r="A29" s="57">
        <f t="shared" si="0"/>
        <v>28.599999999999987</v>
      </c>
      <c r="C29" s="101">
        <v>26.04</v>
      </c>
      <c r="D29" s="102">
        <v>26.31</v>
      </c>
      <c r="E29" s="102">
        <v>26.08</v>
      </c>
      <c r="F29" s="101">
        <v>26.13</v>
      </c>
      <c r="G29" s="102">
        <v>26.36</v>
      </c>
      <c r="H29" s="101">
        <v>26.29</v>
      </c>
      <c r="J29" s="123">
        <v>28.799999999999986</v>
      </c>
      <c r="K29" s="124">
        <v>0</v>
      </c>
      <c r="AC29" s="75">
        <v>204</v>
      </c>
      <c r="AD29" s="75">
        <v>204</v>
      </c>
      <c r="AE29" s="161">
        <v>204</v>
      </c>
      <c r="AF29" s="162">
        <v>204</v>
      </c>
      <c r="AG29" s="172">
        <v>204</v>
      </c>
      <c r="AH29" s="173">
        <v>204</v>
      </c>
      <c r="BC29" s="75">
        <v>102</v>
      </c>
      <c r="BD29" s="75">
        <v>102</v>
      </c>
      <c r="BE29" s="161">
        <v>102</v>
      </c>
      <c r="BF29" s="162">
        <v>102</v>
      </c>
    </row>
    <row r="30" spans="1:69">
      <c r="A30" s="57">
        <f t="shared" si="0"/>
        <v>28.799999999999986</v>
      </c>
      <c r="C30" s="109">
        <v>26.13</v>
      </c>
      <c r="D30" s="102">
        <v>26.21</v>
      </c>
      <c r="E30" s="102">
        <v>26.19</v>
      </c>
      <c r="F30" s="101">
        <v>26.15</v>
      </c>
      <c r="G30" s="102">
        <v>26.38</v>
      </c>
      <c r="H30" s="101">
        <v>26.31</v>
      </c>
      <c r="J30" s="123">
        <v>28.999999999999986</v>
      </c>
      <c r="K30" s="124">
        <v>1</v>
      </c>
      <c r="AC30" s="75">
        <v>204</v>
      </c>
      <c r="AD30" s="75">
        <v>204</v>
      </c>
      <c r="AE30" s="161">
        <v>204</v>
      </c>
      <c r="AF30" s="162">
        <v>204</v>
      </c>
      <c r="AG30" s="172">
        <v>204</v>
      </c>
      <c r="AH30" s="173">
        <v>204</v>
      </c>
      <c r="BC30" s="75">
        <v>102</v>
      </c>
      <c r="BD30" s="75">
        <v>102</v>
      </c>
      <c r="BE30" s="161">
        <v>102</v>
      </c>
      <c r="BF30" s="162">
        <v>102</v>
      </c>
    </row>
    <row r="31" spans="1:69">
      <c r="A31" s="57">
        <f t="shared" si="0"/>
        <v>28.999999999999986</v>
      </c>
      <c r="C31" s="109">
        <v>26.28</v>
      </c>
      <c r="D31" s="102">
        <v>26.04</v>
      </c>
      <c r="E31" s="102">
        <v>26.19</v>
      </c>
      <c r="F31" s="101">
        <v>26.11</v>
      </c>
      <c r="G31" s="102">
        <v>26.28</v>
      </c>
      <c r="H31" s="101">
        <v>25.98</v>
      </c>
      <c r="J31" s="123">
        <v>29.199999999999985</v>
      </c>
      <c r="K31" s="124">
        <v>0</v>
      </c>
      <c r="AC31" s="75">
        <v>204</v>
      </c>
      <c r="AD31" s="75">
        <v>204</v>
      </c>
      <c r="AE31" s="161">
        <v>204</v>
      </c>
      <c r="AF31" s="162">
        <v>204</v>
      </c>
      <c r="AG31" s="172">
        <v>204</v>
      </c>
      <c r="AH31" s="173">
        <v>204</v>
      </c>
      <c r="BC31" s="75">
        <v>102</v>
      </c>
      <c r="BD31" s="75">
        <v>102</v>
      </c>
      <c r="BE31" s="161">
        <v>102</v>
      </c>
      <c r="BF31" s="162">
        <v>102</v>
      </c>
    </row>
    <row r="32" spans="1:69" ht="15.75" thickBot="1">
      <c r="A32" s="57">
        <f t="shared" si="0"/>
        <v>29.199999999999985</v>
      </c>
      <c r="C32" s="109">
        <v>26.03</v>
      </c>
      <c r="D32" s="102">
        <v>26.34</v>
      </c>
      <c r="E32" s="102">
        <v>26.17</v>
      </c>
      <c r="F32" s="101">
        <v>26.2</v>
      </c>
      <c r="G32" s="102">
        <v>26.28</v>
      </c>
      <c r="H32" s="101">
        <v>26.42</v>
      </c>
      <c r="J32" s="125" t="s">
        <v>148</v>
      </c>
      <c r="K32" s="125">
        <v>0</v>
      </c>
      <c r="AC32" s="75">
        <v>204</v>
      </c>
      <c r="AD32" s="75">
        <v>204</v>
      </c>
      <c r="AE32" s="161">
        <v>204</v>
      </c>
      <c r="AF32" s="162">
        <v>204</v>
      </c>
      <c r="AG32" s="172">
        <v>204</v>
      </c>
      <c r="AH32" s="173">
        <v>204</v>
      </c>
      <c r="BC32" s="75">
        <v>102</v>
      </c>
      <c r="BD32" s="75">
        <v>102</v>
      </c>
      <c r="BE32" s="161">
        <v>102</v>
      </c>
      <c r="BF32" s="162">
        <v>102</v>
      </c>
    </row>
    <row r="33" spans="3:58">
      <c r="C33" s="109">
        <v>26.35</v>
      </c>
      <c r="D33" s="102">
        <v>26.3</v>
      </c>
      <c r="E33" s="102">
        <v>26.18</v>
      </c>
      <c r="F33" s="101">
        <v>26.17</v>
      </c>
      <c r="G33" s="102">
        <v>26.32</v>
      </c>
      <c r="H33" s="101">
        <v>26.35</v>
      </c>
      <c r="AC33" s="75">
        <v>204</v>
      </c>
      <c r="AD33" s="75">
        <v>204</v>
      </c>
      <c r="AE33" s="161">
        <v>204</v>
      </c>
      <c r="AF33" s="162">
        <v>204</v>
      </c>
      <c r="AG33" s="172">
        <v>204</v>
      </c>
      <c r="AH33" s="173">
        <v>204</v>
      </c>
      <c r="BC33" s="75">
        <v>102</v>
      </c>
      <c r="BD33" s="75">
        <v>102</v>
      </c>
      <c r="BE33" s="161">
        <v>102</v>
      </c>
      <c r="BF33" s="162">
        <v>102</v>
      </c>
    </row>
    <row r="34" spans="3:58">
      <c r="C34" s="109">
        <v>26.27</v>
      </c>
      <c r="D34" s="102">
        <v>26.16</v>
      </c>
      <c r="E34" s="102">
        <v>26.25</v>
      </c>
      <c r="F34" s="101">
        <v>26.13</v>
      </c>
      <c r="G34" s="102">
        <v>26.28</v>
      </c>
      <c r="H34" s="101">
        <v>26.44</v>
      </c>
      <c r="AC34" s="75">
        <v>204</v>
      </c>
      <c r="AD34" s="75">
        <v>204</v>
      </c>
      <c r="AE34" s="161">
        <v>204</v>
      </c>
      <c r="AF34" s="162">
        <v>204</v>
      </c>
      <c r="AG34" s="172">
        <v>204</v>
      </c>
      <c r="AH34" s="173">
        <v>204</v>
      </c>
      <c r="BC34" s="75">
        <v>102</v>
      </c>
      <c r="BD34" s="75">
        <v>102</v>
      </c>
      <c r="BE34" s="161">
        <v>103</v>
      </c>
      <c r="BF34" s="162">
        <v>103</v>
      </c>
    </row>
    <row r="35" spans="3:58">
      <c r="C35" s="109">
        <v>26.37</v>
      </c>
      <c r="D35" s="102">
        <v>26.27</v>
      </c>
      <c r="E35" s="102">
        <v>26.17</v>
      </c>
      <c r="F35" s="101">
        <v>26.2</v>
      </c>
      <c r="G35" s="102">
        <v>26.25</v>
      </c>
      <c r="H35" s="101">
        <v>26.25</v>
      </c>
      <c r="AC35" s="75">
        <v>204</v>
      </c>
      <c r="AD35" s="75">
        <v>204</v>
      </c>
      <c r="AE35" s="161">
        <v>204</v>
      </c>
      <c r="AF35" s="162">
        <v>204</v>
      </c>
      <c r="AG35" s="172">
        <v>204</v>
      </c>
      <c r="AH35" s="173">
        <v>204</v>
      </c>
      <c r="BC35" s="75">
        <v>102</v>
      </c>
      <c r="BD35" s="75">
        <v>102</v>
      </c>
      <c r="BE35" s="161">
        <v>102</v>
      </c>
      <c r="BF35" s="162">
        <v>102</v>
      </c>
    </row>
    <row r="36" spans="3:58">
      <c r="C36" s="109">
        <v>26.35</v>
      </c>
      <c r="D36" s="102">
        <v>26.26</v>
      </c>
      <c r="E36" s="102">
        <v>26.26</v>
      </c>
      <c r="F36" s="101">
        <v>26.2</v>
      </c>
      <c r="G36" s="102">
        <v>26.16</v>
      </c>
      <c r="H36" s="102">
        <v>26.22</v>
      </c>
      <c r="AC36" s="75">
        <v>203</v>
      </c>
      <c r="AD36" s="75">
        <v>203</v>
      </c>
      <c r="AE36" s="161">
        <v>204</v>
      </c>
      <c r="AF36" s="162">
        <v>204</v>
      </c>
      <c r="AG36" s="172">
        <v>204</v>
      </c>
      <c r="AH36" s="173">
        <v>204</v>
      </c>
      <c r="BC36" s="75">
        <v>102</v>
      </c>
      <c r="BD36" s="75">
        <v>102</v>
      </c>
      <c r="BE36" s="161">
        <v>102</v>
      </c>
      <c r="BF36" s="162">
        <v>102</v>
      </c>
    </row>
    <row r="37" spans="3:58">
      <c r="C37" s="109">
        <v>26.33</v>
      </c>
      <c r="D37" s="102">
        <v>26.06</v>
      </c>
      <c r="E37" s="102">
        <v>26.17</v>
      </c>
      <c r="F37" s="101">
        <v>26.22</v>
      </c>
      <c r="G37" s="102">
        <v>26.24</v>
      </c>
      <c r="H37" s="101">
        <v>26.22</v>
      </c>
      <c r="AC37" s="75">
        <v>204</v>
      </c>
      <c r="AD37" s="75">
        <v>204</v>
      </c>
      <c r="AE37" s="161">
        <v>204</v>
      </c>
      <c r="AF37" s="162">
        <v>204</v>
      </c>
      <c r="AG37" s="172">
        <v>204</v>
      </c>
      <c r="AH37" s="173">
        <v>204</v>
      </c>
      <c r="BC37" s="75">
        <v>102</v>
      </c>
      <c r="BD37" s="75">
        <v>102</v>
      </c>
      <c r="BE37" s="161">
        <v>102</v>
      </c>
      <c r="BF37" s="162">
        <v>102</v>
      </c>
    </row>
    <row r="38" spans="3:58">
      <c r="C38" s="109">
        <v>26.24</v>
      </c>
      <c r="D38" s="102">
        <v>26.26</v>
      </c>
      <c r="E38" s="102">
        <v>26.18</v>
      </c>
      <c r="F38" s="101">
        <v>26.13</v>
      </c>
      <c r="G38" s="102">
        <v>26.28</v>
      </c>
      <c r="H38" s="101">
        <v>26.42</v>
      </c>
      <c r="AC38" s="75">
        <v>204</v>
      </c>
      <c r="AD38" s="75">
        <v>204</v>
      </c>
      <c r="AE38" s="161">
        <v>204</v>
      </c>
      <c r="AF38" s="162">
        <v>204</v>
      </c>
      <c r="AG38" s="172">
        <v>204</v>
      </c>
      <c r="AH38" s="173">
        <v>204</v>
      </c>
      <c r="BC38" s="93">
        <v>102</v>
      </c>
      <c r="BD38" s="93">
        <v>102</v>
      </c>
      <c r="BE38" s="161">
        <v>102</v>
      </c>
      <c r="BF38" s="162">
        <v>102</v>
      </c>
    </row>
    <row r="39" spans="3:58">
      <c r="C39" s="109">
        <v>26.34</v>
      </c>
      <c r="D39" s="102">
        <v>26.1</v>
      </c>
      <c r="E39" s="102">
        <v>26.14</v>
      </c>
      <c r="F39" s="101">
        <v>26.24</v>
      </c>
      <c r="G39" s="102">
        <v>26.25</v>
      </c>
      <c r="H39" s="101">
        <v>26.27</v>
      </c>
      <c r="AC39" s="75">
        <v>204</v>
      </c>
      <c r="AD39" s="75">
        <v>204</v>
      </c>
      <c r="AE39" s="161">
        <v>204</v>
      </c>
      <c r="AF39" s="162">
        <v>204</v>
      </c>
      <c r="AG39" s="172">
        <v>204</v>
      </c>
      <c r="AH39" s="173">
        <v>204</v>
      </c>
      <c r="BC39" s="172">
        <v>103</v>
      </c>
      <c r="BD39" s="173">
        <v>102</v>
      </c>
      <c r="BE39" s="161">
        <v>102</v>
      </c>
      <c r="BF39" s="162">
        <v>102</v>
      </c>
    </row>
    <row r="40" spans="3:58">
      <c r="C40" s="109">
        <v>25.96</v>
      </c>
      <c r="D40" s="102">
        <v>26.32</v>
      </c>
      <c r="E40" s="102">
        <v>26.11</v>
      </c>
      <c r="F40" s="101">
        <v>26.14</v>
      </c>
      <c r="G40" s="102">
        <v>26.48</v>
      </c>
      <c r="H40" s="101">
        <v>26.29</v>
      </c>
      <c r="AC40" s="75">
        <v>204</v>
      </c>
      <c r="AD40" s="75">
        <v>204</v>
      </c>
      <c r="AE40" s="161">
        <v>204</v>
      </c>
      <c r="AF40" s="162">
        <v>204</v>
      </c>
      <c r="AG40" s="172">
        <v>204</v>
      </c>
      <c r="AH40" s="173">
        <v>204</v>
      </c>
      <c r="BC40" s="172">
        <v>103</v>
      </c>
      <c r="BD40" s="173">
        <v>103</v>
      </c>
      <c r="BE40" s="161">
        <v>102</v>
      </c>
      <c r="BF40" s="162">
        <v>102</v>
      </c>
    </row>
    <row r="41" spans="3:58">
      <c r="C41" s="109">
        <v>26.28</v>
      </c>
      <c r="D41" s="102">
        <v>26.31</v>
      </c>
      <c r="E41" s="102">
        <v>26.15</v>
      </c>
      <c r="F41" s="101">
        <v>26.11</v>
      </c>
      <c r="G41" s="102">
        <v>26.41</v>
      </c>
      <c r="H41" s="101">
        <v>25.89</v>
      </c>
      <c r="AC41" s="75">
        <v>204</v>
      </c>
      <c r="AD41" s="75">
        <v>204</v>
      </c>
      <c r="AE41" s="161">
        <v>204</v>
      </c>
      <c r="AF41" s="162">
        <v>204</v>
      </c>
      <c r="AG41" s="172">
        <v>204</v>
      </c>
      <c r="AH41" s="173">
        <v>204</v>
      </c>
      <c r="BC41" s="172">
        <v>103</v>
      </c>
      <c r="BD41" s="173">
        <v>103</v>
      </c>
      <c r="BE41" s="161">
        <v>102</v>
      </c>
      <c r="BF41" s="162">
        <v>102</v>
      </c>
    </row>
    <row r="42" spans="3:58">
      <c r="C42" s="109">
        <v>26.32</v>
      </c>
      <c r="D42" s="102">
        <v>26.24</v>
      </c>
      <c r="E42" s="102">
        <v>26.15</v>
      </c>
      <c r="F42" s="101">
        <v>26.19</v>
      </c>
      <c r="G42" s="102">
        <v>25.99</v>
      </c>
      <c r="H42" s="101">
        <v>25.53</v>
      </c>
      <c r="AC42" s="75">
        <v>204</v>
      </c>
      <c r="AD42" s="75">
        <v>204</v>
      </c>
      <c r="AE42" s="161">
        <v>204</v>
      </c>
      <c r="AF42" s="162">
        <v>204</v>
      </c>
      <c r="AG42" s="172">
        <v>204</v>
      </c>
      <c r="AH42" s="173">
        <v>204</v>
      </c>
      <c r="BC42" s="172">
        <v>103</v>
      </c>
      <c r="BD42" s="173">
        <v>103</v>
      </c>
      <c r="BE42" s="161">
        <v>102</v>
      </c>
      <c r="BF42" s="162">
        <v>102</v>
      </c>
    </row>
    <row r="43" spans="3:58">
      <c r="C43" s="109">
        <v>26.01</v>
      </c>
      <c r="D43" s="102">
        <v>26.21</v>
      </c>
      <c r="E43" s="102">
        <v>26.17</v>
      </c>
      <c r="F43" s="101">
        <v>26.09</v>
      </c>
      <c r="G43" s="102">
        <v>26.01</v>
      </c>
      <c r="H43" s="101">
        <v>25.7</v>
      </c>
      <c r="AC43" s="75">
        <v>204</v>
      </c>
      <c r="AD43" s="75">
        <v>204</v>
      </c>
      <c r="AE43" s="161">
        <v>204</v>
      </c>
      <c r="AF43" s="162">
        <v>204</v>
      </c>
      <c r="AG43" s="172">
        <v>204</v>
      </c>
      <c r="AH43" s="173">
        <v>204</v>
      </c>
      <c r="BC43" s="172">
        <v>103</v>
      </c>
      <c r="BD43" s="173">
        <v>103</v>
      </c>
      <c r="BE43" s="161">
        <v>102</v>
      </c>
      <c r="BF43" s="162">
        <v>102</v>
      </c>
    </row>
    <row r="44" spans="3:58">
      <c r="C44" s="109">
        <v>26.35</v>
      </c>
      <c r="D44" s="102">
        <v>26.24</v>
      </c>
      <c r="E44" s="102">
        <v>26.15</v>
      </c>
      <c r="F44" s="101">
        <v>26.16</v>
      </c>
      <c r="G44" s="102">
        <v>25.92</v>
      </c>
      <c r="H44" s="101">
        <v>25.59</v>
      </c>
      <c r="AC44" s="75">
        <v>204</v>
      </c>
      <c r="AD44" s="75">
        <v>204</v>
      </c>
      <c r="AE44" s="161">
        <v>204</v>
      </c>
      <c r="AF44" s="162">
        <v>204</v>
      </c>
      <c r="AG44" s="172">
        <v>204</v>
      </c>
      <c r="AH44" s="173">
        <v>204</v>
      </c>
      <c r="BC44" s="172">
        <v>103</v>
      </c>
      <c r="BD44" s="173">
        <v>103</v>
      </c>
      <c r="BE44" s="161">
        <v>102</v>
      </c>
      <c r="BF44" s="162">
        <v>102</v>
      </c>
    </row>
    <row r="45" spans="3:58">
      <c r="C45" s="109">
        <v>26.33</v>
      </c>
      <c r="D45" s="102">
        <v>26.27</v>
      </c>
      <c r="E45" s="102">
        <v>26.18</v>
      </c>
      <c r="F45" s="101">
        <v>26.13</v>
      </c>
      <c r="G45" s="102">
        <v>25.94</v>
      </c>
      <c r="H45" s="101">
        <v>26.02</v>
      </c>
      <c r="AC45" s="75">
        <v>204</v>
      </c>
      <c r="AD45" s="75">
        <v>204</v>
      </c>
      <c r="AE45" s="161">
        <v>204</v>
      </c>
      <c r="AF45" s="162">
        <v>204</v>
      </c>
      <c r="AG45" s="172">
        <v>204</v>
      </c>
      <c r="AH45" s="173">
        <v>204</v>
      </c>
      <c r="BC45" s="172">
        <v>103</v>
      </c>
      <c r="BD45" s="173">
        <v>103</v>
      </c>
      <c r="BE45" s="161">
        <v>102</v>
      </c>
      <c r="BF45" s="162">
        <v>102</v>
      </c>
    </row>
    <row r="46" spans="3:58">
      <c r="C46" s="109">
        <v>26.27</v>
      </c>
      <c r="D46" s="102">
        <v>26.13</v>
      </c>
      <c r="E46" s="102">
        <v>26.13</v>
      </c>
      <c r="F46" s="101">
        <v>26.11</v>
      </c>
      <c r="G46" s="102">
        <v>25.83</v>
      </c>
      <c r="H46" s="101">
        <v>25.9</v>
      </c>
      <c r="AC46" s="75">
        <v>204</v>
      </c>
      <c r="AD46" s="75">
        <v>204</v>
      </c>
      <c r="AE46" s="161">
        <v>204</v>
      </c>
      <c r="AF46" s="162">
        <v>204</v>
      </c>
      <c r="AG46" s="172">
        <v>204</v>
      </c>
      <c r="AH46" s="173">
        <v>204</v>
      </c>
      <c r="BC46" s="172">
        <v>102</v>
      </c>
      <c r="BD46" s="173">
        <v>102</v>
      </c>
      <c r="BE46" s="166">
        <v>102</v>
      </c>
      <c r="BF46" s="167">
        <v>102</v>
      </c>
    </row>
    <row r="47" spans="3:58">
      <c r="C47" s="109">
        <v>26.19</v>
      </c>
      <c r="D47" s="102">
        <v>26.28</v>
      </c>
      <c r="E47" s="102">
        <v>26.14</v>
      </c>
      <c r="F47" s="101">
        <v>26.22</v>
      </c>
      <c r="G47" s="102">
        <v>26.02</v>
      </c>
      <c r="H47" s="101">
        <v>26.05</v>
      </c>
      <c r="AC47" s="75">
        <v>204</v>
      </c>
      <c r="AD47" s="75">
        <v>204</v>
      </c>
      <c r="AE47" s="161">
        <v>204</v>
      </c>
      <c r="AF47" s="162">
        <v>204</v>
      </c>
      <c r="AG47" s="172">
        <v>204</v>
      </c>
      <c r="AH47" s="173">
        <v>204</v>
      </c>
      <c r="BC47" s="172">
        <v>103</v>
      </c>
      <c r="BD47" s="173">
        <v>103</v>
      </c>
      <c r="BE47" s="172">
        <v>103</v>
      </c>
      <c r="BF47" s="173">
        <v>103</v>
      </c>
    </row>
    <row r="48" spans="3:58">
      <c r="C48" s="109">
        <v>26.17</v>
      </c>
      <c r="D48" s="102">
        <v>26.09</v>
      </c>
      <c r="E48" s="102">
        <v>25.94</v>
      </c>
      <c r="F48" s="102">
        <v>25.99</v>
      </c>
      <c r="G48" s="102">
        <v>25.98</v>
      </c>
      <c r="H48" s="101">
        <v>25.48</v>
      </c>
      <c r="AC48" s="75">
        <v>204</v>
      </c>
      <c r="AD48" s="75">
        <v>204</v>
      </c>
      <c r="AE48" s="161">
        <v>204</v>
      </c>
      <c r="AF48" s="162">
        <v>204</v>
      </c>
      <c r="AG48" s="172">
        <v>204</v>
      </c>
      <c r="AH48" s="173">
        <v>204</v>
      </c>
      <c r="BC48" s="172">
        <v>103</v>
      </c>
      <c r="BD48" s="173">
        <v>103</v>
      </c>
      <c r="BE48" s="172">
        <v>103</v>
      </c>
      <c r="BF48" s="173">
        <v>103</v>
      </c>
    </row>
    <row r="49" spans="3:58">
      <c r="C49" s="109">
        <v>26.4</v>
      </c>
      <c r="D49" s="102">
        <v>26.31</v>
      </c>
      <c r="E49" s="102">
        <v>26.53</v>
      </c>
      <c r="F49" s="102">
        <v>25.98</v>
      </c>
      <c r="G49" s="102">
        <v>26.05</v>
      </c>
      <c r="H49" s="101">
        <v>25.84</v>
      </c>
      <c r="AC49" s="75">
        <v>204</v>
      </c>
      <c r="AD49" s="75">
        <v>204</v>
      </c>
      <c r="AE49" s="161">
        <v>204</v>
      </c>
      <c r="AF49" s="162">
        <v>204</v>
      </c>
      <c r="AG49" s="172">
        <v>204</v>
      </c>
      <c r="AH49" s="173">
        <v>204</v>
      </c>
      <c r="BC49" s="172">
        <v>103</v>
      </c>
      <c r="BD49" s="173">
        <v>102</v>
      </c>
      <c r="BE49" s="172">
        <v>103</v>
      </c>
      <c r="BF49" s="173">
        <v>103</v>
      </c>
    </row>
    <row r="50" spans="3:58">
      <c r="C50" s="109">
        <v>26.28</v>
      </c>
      <c r="D50" s="102">
        <v>26.3</v>
      </c>
      <c r="E50" s="102">
        <v>25.93</v>
      </c>
      <c r="F50" s="102">
        <v>26.09</v>
      </c>
      <c r="G50" s="102">
        <v>25.87</v>
      </c>
      <c r="H50" s="101">
        <v>25.93</v>
      </c>
      <c r="AC50" s="75">
        <v>204</v>
      </c>
      <c r="AD50" s="75">
        <v>204</v>
      </c>
      <c r="AE50" s="161">
        <v>204</v>
      </c>
      <c r="AF50" s="162">
        <v>204</v>
      </c>
      <c r="AG50" s="172">
        <v>204</v>
      </c>
      <c r="AH50" s="173">
        <v>204</v>
      </c>
      <c r="BC50" s="172">
        <v>103</v>
      </c>
      <c r="BD50" s="173">
        <v>103</v>
      </c>
      <c r="BE50" s="172">
        <v>102</v>
      </c>
      <c r="BF50" s="173">
        <v>102</v>
      </c>
    </row>
    <row r="51" spans="3:58">
      <c r="C51" s="109">
        <v>26.1</v>
      </c>
      <c r="D51" s="102">
        <v>26.37</v>
      </c>
      <c r="E51" s="102">
        <v>26.09</v>
      </c>
      <c r="F51" s="102">
        <v>25.95</v>
      </c>
      <c r="G51" s="102">
        <v>25.87</v>
      </c>
      <c r="H51" s="101">
        <v>25.94</v>
      </c>
      <c r="AC51" s="75">
        <v>204</v>
      </c>
      <c r="AD51" s="75">
        <v>204</v>
      </c>
      <c r="AE51" s="161">
        <v>204</v>
      </c>
      <c r="AF51" s="162">
        <v>204</v>
      </c>
      <c r="AG51" s="172">
        <v>204</v>
      </c>
      <c r="AH51" s="173">
        <v>204</v>
      </c>
      <c r="BC51" s="172">
        <v>103</v>
      </c>
      <c r="BD51" s="173">
        <v>103</v>
      </c>
      <c r="BE51" s="172">
        <v>102</v>
      </c>
      <c r="BF51" s="173">
        <v>102</v>
      </c>
    </row>
    <row r="52" spans="3:58">
      <c r="C52" s="109">
        <v>26.41</v>
      </c>
      <c r="D52" s="102">
        <v>26.34</v>
      </c>
      <c r="E52" s="102">
        <v>26.13</v>
      </c>
      <c r="F52" s="102">
        <v>26.02</v>
      </c>
      <c r="G52" s="102">
        <v>25.7</v>
      </c>
      <c r="H52" s="101">
        <v>25.89</v>
      </c>
      <c r="AC52" s="75">
        <v>204</v>
      </c>
      <c r="AD52" s="75">
        <v>204</v>
      </c>
      <c r="AE52" s="161">
        <v>204</v>
      </c>
      <c r="AF52" s="162">
        <v>204</v>
      </c>
      <c r="AG52" s="172">
        <v>204</v>
      </c>
      <c r="AH52" s="173">
        <v>204</v>
      </c>
      <c r="BC52" s="172">
        <v>103</v>
      </c>
      <c r="BD52" s="173">
        <v>103</v>
      </c>
      <c r="BE52" s="172">
        <v>102</v>
      </c>
      <c r="BF52" s="173">
        <v>102</v>
      </c>
    </row>
    <row r="53" spans="3:58">
      <c r="C53" s="109">
        <v>26.31</v>
      </c>
      <c r="D53" s="102">
        <v>26.21</v>
      </c>
      <c r="E53" s="102">
        <v>26.07</v>
      </c>
      <c r="F53" s="102">
        <v>26.04</v>
      </c>
      <c r="G53" s="102">
        <v>26.07</v>
      </c>
      <c r="H53" s="101">
        <v>26.05</v>
      </c>
      <c r="AC53" s="75">
        <v>204</v>
      </c>
      <c r="AD53" s="75">
        <v>204</v>
      </c>
      <c r="AE53" s="161">
        <v>204</v>
      </c>
      <c r="AF53" s="162">
        <v>204</v>
      </c>
      <c r="AG53" s="172">
        <v>204</v>
      </c>
      <c r="AH53" s="173">
        <v>204</v>
      </c>
      <c r="BC53" s="172">
        <v>103</v>
      </c>
      <c r="BD53" s="173">
        <v>103</v>
      </c>
      <c r="BE53" s="172">
        <v>103</v>
      </c>
      <c r="BF53" s="173">
        <v>103</v>
      </c>
    </row>
    <row r="54" spans="3:58">
      <c r="C54" s="109">
        <v>26.27</v>
      </c>
      <c r="D54" s="102">
        <v>26.29</v>
      </c>
      <c r="E54" s="102">
        <v>25.98</v>
      </c>
      <c r="F54" s="102">
        <v>25.8</v>
      </c>
      <c r="G54" s="102">
        <v>25.61</v>
      </c>
      <c r="H54" s="101">
        <v>25.96</v>
      </c>
      <c r="AC54" s="75">
        <v>204</v>
      </c>
      <c r="AD54" s="75">
        <v>204</v>
      </c>
      <c r="AE54" s="161">
        <v>204</v>
      </c>
      <c r="AF54" s="162">
        <v>204</v>
      </c>
      <c r="AG54" s="172">
        <v>204</v>
      </c>
      <c r="AH54" s="173">
        <v>204</v>
      </c>
      <c r="BC54" s="172">
        <v>103</v>
      </c>
      <c r="BD54" s="173">
        <v>103</v>
      </c>
      <c r="BE54" s="172">
        <v>103</v>
      </c>
      <c r="BF54" s="173">
        <v>103</v>
      </c>
    </row>
    <row r="55" spans="3:58">
      <c r="C55" s="109">
        <v>26.12</v>
      </c>
      <c r="D55" s="102">
        <v>26.22</v>
      </c>
      <c r="E55" s="102">
        <v>26.01</v>
      </c>
      <c r="F55" s="102">
        <v>26.04</v>
      </c>
      <c r="G55" s="102">
        <v>25.96</v>
      </c>
      <c r="H55" s="101">
        <v>26</v>
      </c>
      <c r="AC55" s="75">
        <v>204</v>
      </c>
      <c r="AD55" s="75">
        <v>204</v>
      </c>
      <c r="AE55" s="161">
        <v>204</v>
      </c>
      <c r="AF55" s="162">
        <v>204</v>
      </c>
      <c r="AG55" s="172">
        <v>204</v>
      </c>
      <c r="AH55" s="173">
        <v>204</v>
      </c>
      <c r="BC55" s="183">
        <v>102</v>
      </c>
      <c r="BD55" s="184">
        <v>102</v>
      </c>
      <c r="BE55" s="172">
        <v>103</v>
      </c>
      <c r="BF55" s="173">
        <v>103</v>
      </c>
    </row>
    <row r="56" spans="3:58">
      <c r="C56" s="109">
        <v>26.33</v>
      </c>
      <c r="D56" s="102">
        <v>26.3</v>
      </c>
      <c r="E56" s="102">
        <v>25.95</v>
      </c>
      <c r="F56" s="102">
        <v>25.6</v>
      </c>
      <c r="G56" s="102">
        <v>25.77</v>
      </c>
      <c r="H56" s="101">
        <v>25.77</v>
      </c>
      <c r="AC56" s="75">
        <v>204</v>
      </c>
      <c r="AD56" s="75">
        <v>204</v>
      </c>
      <c r="AE56" s="161">
        <v>204</v>
      </c>
      <c r="AF56" s="162">
        <v>204</v>
      </c>
      <c r="AG56" s="172">
        <v>204</v>
      </c>
      <c r="AH56" s="173">
        <v>204</v>
      </c>
      <c r="BC56" s="172">
        <v>103</v>
      </c>
      <c r="BD56" s="173">
        <v>103</v>
      </c>
      <c r="BE56" s="172">
        <v>103</v>
      </c>
      <c r="BF56" s="173">
        <v>103</v>
      </c>
    </row>
    <row r="57" spans="3:58">
      <c r="C57" s="109">
        <v>26.1</v>
      </c>
      <c r="D57" s="102">
        <v>26.31</v>
      </c>
      <c r="E57" s="102">
        <v>25.78</v>
      </c>
      <c r="F57" s="102">
        <v>25.94</v>
      </c>
      <c r="G57" s="102">
        <v>25.93</v>
      </c>
      <c r="H57" s="101">
        <v>25.72</v>
      </c>
      <c r="AC57" s="75">
        <v>204</v>
      </c>
      <c r="AD57" s="75">
        <v>204</v>
      </c>
      <c r="AE57" s="161">
        <v>204</v>
      </c>
      <c r="AF57" s="162">
        <v>204</v>
      </c>
      <c r="AG57" s="172">
        <v>204</v>
      </c>
      <c r="AH57" s="173">
        <v>204</v>
      </c>
      <c r="BC57" s="172">
        <v>103</v>
      </c>
      <c r="BD57" s="173">
        <v>103</v>
      </c>
      <c r="BE57" s="172">
        <v>103</v>
      </c>
      <c r="BF57" s="173">
        <v>103</v>
      </c>
    </row>
    <row r="58" spans="3:58">
      <c r="C58" s="109">
        <v>26.25</v>
      </c>
      <c r="D58" s="102">
        <v>26.2</v>
      </c>
      <c r="E58" s="102">
        <v>25.9</v>
      </c>
      <c r="F58" s="102">
        <v>26.01</v>
      </c>
      <c r="G58" s="102">
        <v>25.94</v>
      </c>
      <c r="H58" s="101">
        <v>25.59</v>
      </c>
      <c r="AC58" s="75">
        <v>204</v>
      </c>
      <c r="AD58" s="75">
        <v>204</v>
      </c>
      <c r="AE58" s="161">
        <v>204</v>
      </c>
      <c r="AF58" s="162">
        <v>204</v>
      </c>
      <c r="AG58" s="172">
        <v>204</v>
      </c>
      <c r="AH58" s="173">
        <v>204</v>
      </c>
      <c r="BC58" s="172">
        <v>103</v>
      </c>
      <c r="BD58" s="173">
        <v>103</v>
      </c>
      <c r="BE58" s="172">
        <v>102</v>
      </c>
      <c r="BF58" s="173">
        <v>102</v>
      </c>
    </row>
    <row r="59" spans="3:58">
      <c r="C59" s="109">
        <v>26.3</v>
      </c>
      <c r="D59" s="102">
        <v>26.31</v>
      </c>
      <c r="E59" s="102">
        <v>26.06</v>
      </c>
      <c r="F59" s="102">
        <v>25.83</v>
      </c>
      <c r="G59" s="102">
        <v>25.98</v>
      </c>
      <c r="H59" s="101">
        <v>25.93</v>
      </c>
      <c r="AC59" s="75">
        <v>204</v>
      </c>
      <c r="AD59" s="75">
        <v>204</v>
      </c>
      <c r="AE59" s="161">
        <v>204</v>
      </c>
      <c r="AF59" s="162">
        <v>204</v>
      </c>
      <c r="AG59" s="172">
        <v>204</v>
      </c>
      <c r="AH59" s="173">
        <v>204</v>
      </c>
      <c r="BC59" s="172">
        <v>103</v>
      </c>
      <c r="BD59" s="173">
        <v>103</v>
      </c>
      <c r="BE59" s="172">
        <v>103</v>
      </c>
      <c r="BF59" s="173">
        <v>103</v>
      </c>
    </row>
    <row r="60" spans="3:58">
      <c r="C60" s="109">
        <v>26.3</v>
      </c>
      <c r="D60" s="102">
        <v>26.27</v>
      </c>
      <c r="E60" s="102">
        <v>26.11</v>
      </c>
      <c r="F60" s="102">
        <v>25.97</v>
      </c>
      <c r="G60" s="102">
        <v>26.05</v>
      </c>
      <c r="H60" s="101">
        <v>26</v>
      </c>
      <c r="AC60" s="75">
        <v>204</v>
      </c>
      <c r="AD60" s="75">
        <v>204</v>
      </c>
      <c r="AE60" s="161">
        <v>204</v>
      </c>
      <c r="AF60" s="162">
        <v>204</v>
      </c>
      <c r="AG60" s="172">
        <v>204</v>
      </c>
      <c r="AH60" s="173">
        <v>204</v>
      </c>
      <c r="BC60" s="172">
        <v>103</v>
      </c>
      <c r="BD60" s="173">
        <v>103</v>
      </c>
      <c r="BE60" s="172">
        <v>103</v>
      </c>
      <c r="BF60" s="173">
        <v>103</v>
      </c>
    </row>
    <row r="61" spans="3:58">
      <c r="C61" s="109">
        <v>26.35</v>
      </c>
      <c r="D61" s="102">
        <v>26.12</v>
      </c>
      <c r="E61" s="102">
        <v>25.49</v>
      </c>
      <c r="F61" s="102">
        <v>25.94</v>
      </c>
      <c r="G61" s="102">
        <v>25.93</v>
      </c>
      <c r="H61" s="101">
        <v>26.11</v>
      </c>
      <c r="AC61" s="75">
        <v>204</v>
      </c>
      <c r="AD61" s="75">
        <v>204</v>
      </c>
      <c r="AE61" s="161">
        <v>204</v>
      </c>
      <c r="AF61" s="162">
        <v>204</v>
      </c>
      <c r="AG61" s="172">
        <v>204</v>
      </c>
      <c r="AH61" s="173">
        <v>204</v>
      </c>
      <c r="BC61" s="172">
        <v>103</v>
      </c>
      <c r="BD61" s="173">
        <v>103</v>
      </c>
      <c r="BE61" s="172">
        <v>102</v>
      </c>
      <c r="BF61" s="173">
        <v>102</v>
      </c>
    </row>
    <row r="62" spans="3:58">
      <c r="C62" s="109">
        <v>26.3</v>
      </c>
      <c r="D62" s="102">
        <v>26.18</v>
      </c>
      <c r="E62" s="102">
        <v>26.03</v>
      </c>
      <c r="F62" s="102">
        <v>26.02</v>
      </c>
      <c r="G62" s="102">
        <v>26.07</v>
      </c>
      <c r="H62" s="101">
        <v>26.04</v>
      </c>
      <c r="AC62" s="75">
        <v>204</v>
      </c>
      <c r="AD62" s="75">
        <v>204</v>
      </c>
      <c r="AE62" s="161">
        <v>204</v>
      </c>
      <c r="AF62" s="162">
        <v>204</v>
      </c>
      <c r="AG62" s="172">
        <v>204</v>
      </c>
      <c r="AH62" s="173">
        <v>204</v>
      </c>
      <c r="BC62" s="172">
        <v>103</v>
      </c>
      <c r="BD62" s="173">
        <v>103</v>
      </c>
      <c r="BE62" s="172">
        <v>103</v>
      </c>
      <c r="BF62" s="173">
        <v>103</v>
      </c>
    </row>
    <row r="63" spans="3:58">
      <c r="C63" s="109">
        <v>26.32</v>
      </c>
      <c r="D63" s="102">
        <v>26.12</v>
      </c>
      <c r="E63" s="102">
        <v>26.04</v>
      </c>
      <c r="F63" s="102">
        <v>25.92</v>
      </c>
      <c r="G63" s="102">
        <v>26.08</v>
      </c>
      <c r="H63" s="101">
        <v>25.94</v>
      </c>
      <c r="AC63" s="75">
        <v>204</v>
      </c>
      <c r="AD63" s="75">
        <v>204</v>
      </c>
      <c r="AE63" s="161">
        <v>204</v>
      </c>
      <c r="AF63" s="162">
        <v>204</v>
      </c>
      <c r="AG63" s="172">
        <v>204</v>
      </c>
      <c r="AH63" s="173">
        <v>204</v>
      </c>
      <c r="BC63" s="172">
        <v>103</v>
      </c>
      <c r="BD63" s="173">
        <v>103</v>
      </c>
      <c r="BE63" s="172">
        <v>103</v>
      </c>
      <c r="BF63" s="173">
        <v>103</v>
      </c>
    </row>
    <row r="64" spans="3:58">
      <c r="C64" s="109">
        <v>26.06</v>
      </c>
      <c r="D64" s="102">
        <v>26.3</v>
      </c>
      <c r="E64" s="102">
        <v>25.81</v>
      </c>
      <c r="F64" s="102">
        <v>25.95</v>
      </c>
      <c r="G64" s="102">
        <v>25.8</v>
      </c>
      <c r="H64" s="101">
        <v>25.89</v>
      </c>
      <c r="AC64" s="172">
        <v>204</v>
      </c>
      <c r="AD64" s="173">
        <v>204</v>
      </c>
      <c r="AE64" s="161">
        <v>204</v>
      </c>
      <c r="AF64" s="162">
        <v>204</v>
      </c>
      <c r="AG64" s="172">
        <v>204</v>
      </c>
      <c r="AH64" s="173">
        <v>204</v>
      </c>
      <c r="BC64" s="172">
        <v>103</v>
      </c>
      <c r="BD64" s="173">
        <v>103</v>
      </c>
      <c r="BE64" s="172">
        <v>102</v>
      </c>
      <c r="BF64" s="173">
        <v>103</v>
      </c>
    </row>
    <row r="65" spans="3:58">
      <c r="C65" s="101">
        <v>26.13</v>
      </c>
      <c r="D65" s="102">
        <v>26.25</v>
      </c>
      <c r="E65" s="102">
        <v>26.12</v>
      </c>
      <c r="F65" s="102">
        <v>26.13</v>
      </c>
      <c r="G65" s="102">
        <v>25.48</v>
      </c>
      <c r="H65" s="101">
        <v>25.86</v>
      </c>
      <c r="AC65" s="172">
        <v>204</v>
      </c>
      <c r="AD65" s="173">
        <v>204</v>
      </c>
      <c r="AE65" s="161">
        <v>204</v>
      </c>
      <c r="AF65" s="162">
        <v>204</v>
      </c>
      <c r="AG65" s="172">
        <v>204</v>
      </c>
      <c r="AH65" s="173">
        <v>204</v>
      </c>
      <c r="BC65" s="172">
        <v>103</v>
      </c>
      <c r="BD65" s="173">
        <v>103</v>
      </c>
      <c r="BE65" s="183">
        <v>102</v>
      </c>
      <c r="BF65" s="184">
        <v>102</v>
      </c>
    </row>
    <row r="66" spans="3:58">
      <c r="C66" s="101">
        <v>26.21</v>
      </c>
      <c r="D66" s="102">
        <v>26.25</v>
      </c>
      <c r="E66" s="102">
        <v>25.93</v>
      </c>
      <c r="F66" s="102">
        <v>25.79</v>
      </c>
      <c r="G66" s="102">
        <v>26.05</v>
      </c>
      <c r="H66" s="101">
        <v>26.11</v>
      </c>
      <c r="AC66" s="172">
        <v>204</v>
      </c>
      <c r="AD66" s="173">
        <v>204</v>
      </c>
      <c r="AE66" s="161">
        <v>204</v>
      </c>
      <c r="AF66" s="162">
        <v>204</v>
      </c>
      <c r="AG66" s="172">
        <v>204</v>
      </c>
      <c r="AH66" s="173">
        <v>204</v>
      </c>
      <c r="BC66" s="172">
        <v>103</v>
      </c>
      <c r="BD66" s="173">
        <v>103</v>
      </c>
      <c r="BE66" s="172">
        <v>103</v>
      </c>
      <c r="BF66" s="173">
        <v>103</v>
      </c>
    </row>
    <row r="67" spans="3:58">
      <c r="C67" s="101">
        <v>26.29</v>
      </c>
      <c r="D67" s="102">
        <v>26.11</v>
      </c>
      <c r="E67" s="102">
        <v>26.02</v>
      </c>
      <c r="F67" s="102">
        <v>26.09</v>
      </c>
      <c r="G67" s="102">
        <v>25.75</v>
      </c>
      <c r="H67" s="101">
        <v>25.92</v>
      </c>
      <c r="AC67" s="172">
        <v>204</v>
      </c>
      <c r="AD67" s="173">
        <v>204</v>
      </c>
      <c r="AE67" s="161">
        <v>204</v>
      </c>
      <c r="AF67" s="162">
        <v>204</v>
      </c>
      <c r="AG67" s="172">
        <v>204</v>
      </c>
      <c r="AH67" s="173">
        <v>204</v>
      </c>
      <c r="BC67" s="172">
        <v>103</v>
      </c>
      <c r="BD67" s="173">
        <v>103</v>
      </c>
      <c r="BE67" s="183">
        <v>103</v>
      </c>
      <c r="BF67" s="184">
        <v>103</v>
      </c>
    </row>
    <row r="68" spans="3:58">
      <c r="C68" s="101">
        <v>26.15</v>
      </c>
      <c r="D68" s="102">
        <v>26.25</v>
      </c>
      <c r="E68" s="102">
        <v>25.95</v>
      </c>
      <c r="F68" s="102">
        <v>25.55</v>
      </c>
      <c r="G68" s="102">
        <v>26.01</v>
      </c>
      <c r="H68" s="101">
        <v>25.95</v>
      </c>
      <c r="AC68" s="172">
        <v>204</v>
      </c>
      <c r="AD68" s="173">
        <v>204</v>
      </c>
      <c r="AE68" s="161">
        <v>204</v>
      </c>
      <c r="AF68" s="162">
        <v>204</v>
      </c>
      <c r="AG68" s="172">
        <v>204</v>
      </c>
      <c r="AH68" s="173">
        <v>204</v>
      </c>
      <c r="BC68" s="172">
        <v>103</v>
      </c>
      <c r="BD68" s="173">
        <v>103</v>
      </c>
    </row>
    <row r="69" spans="3:58">
      <c r="C69" s="101">
        <v>26.25</v>
      </c>
      <c r="D69" s="102">
        <v>26.23</v>
      </c>
      <c r="E69" s="102">
        <v>25.97</v>
      </c>
      <c r="F69" s="102">
        <v>25.9</v>
      </c>
      <c r="G69" s="102">
        <v>25.9</v>
      </c>
      <c r="H69" s="101">
        <v>25.99</v>
      </c>
      <c r="AC69" s="172">
        <v>204</v>
      </c>
      <c r="AD69" s="173">
        <v>204</v>
      </c>
      <c r="AE69" s="161">
        <v>204</v>
      </c>
      <c r="AF69" s="162">
        <v>204</v>
      </c>
      <c r="AG69" s="172">
        <v>204</v>
      </c>
      <c r="AH69" s="173">
        <v>204</v>
      </c>
      <c r="BC69" s="183">
        <v>103</v>
      </c>
      <c r="BD69" s="184">
        <v>103</v>
      </c>
    </row>
    <row r="70" spans="3:58">
      <c r="C70" s="101">
        <v>26.27</v>
      </c>
      <c r="D70" s="102">
        <v>26.22</v>
      </c>
      <c r="E70" s="102">
        <v>26.02</v>
      </c>
      <c r="F70" s="102">
        <v>25.98</v>
      </c>
      <c r="G70" s="102">
        <v>26.09</v>
      </c>
      <c r="H70" s="101">
        <v>26.05</v>
      </c>
      <c r="AC70" s="172">
        <v>204</v>
      </c>
      <c r="AD70" s="173">
        <v>204</v>
      </c>
      <c r="AE70" s="161">
        <v>204</v>
      </c>
      <c r="AF70" s="162">
        <v>204</v>
      </c>
      <c r="AG70" s="172">
        <v>204</v>
      </c>
      <c r="AH70" s="173">
        <v>204</v>
      </c>
    </row>
    <row r="71" spans="3:58">
      <c r="C71" s="101">
        <v>26.2</v>
      </c>
      <c r="D71" s="102">
        <v>26.25</v>
      </c>
      <c r="E71" s="102">
        <v>26.02</v>
      </c>
      <c r="F71" s="102">
        <v>26</v>
      </c>
      <c r="G71" s="102">
        <v>26.06</v>
      </c>
      <c r="H71" s="101">
        <v>26.09</v>
      </c>
      <c r="AC71" s="172">
        <v>204</v>
      </c>
      <c r="AD71" s="173">
        <v>204</v>
      </c>
      <c r="AE71" s="161">
        <v>204</v>
      </c>
      <c r="AF71" s="162">
        <v>204</v>
      </c>
      <c r="AG71" s="172">
        <v>204</v>
      </c>
      <c r="AH71" s="173">
        <v>204</v>
      </c>
    </row>
    <row r="72" spans="3:58">
      <c r="C72" s="101">
        <v>26.3</v>
      </c>
      <c r="D72" s="102">
        <v>26.19</v>
      </c>
      <c r="E72" s="102">
        <v>26.04</v>
      </c>
      <c r="F72" s="102">
        <v>26.13</v>
      </c>
      <c r="G72" s="102">
        <v>26.01</v>
      </c>
      <c r="H72" s="101">
        <v>26.08</v>
      </c>
      <c r="AC72" s="172">
        <v>204</v>
      </c>
      <c r="AD72" s="173">
        <v>204</v>
      </c>
      <c r="AE72" s="161">
        <v>204</v>
      </c>
      <c r="AF72" s="162">
        <v>204</v>
      </c>
      <c r="AG72" s="118">
        <v>204</v>
      </c>
      <c r="AH72" s="118">
        <v>204</v>
      </c>
    </row>
    <row r="73" spans="3:58">
      <c r="C73" s="101">
        <v>26.19</v>
      </c>
      <c r="D73" s="102">
        <v>26.26</v>
      </c>
      <c r="E73" s="102">
        <v>26.08</v>
      </c>
      <c r="F73" s="102">
        <v>25.95</v>
      </c>
      <c r="G73" s="102">
        <v>25.61</v>
      </c>
      <c r="H73" s="101">
        <v>26.01</v>
      </c>
      <c r="AC73" s="172">
        <v>204</v>
      </c>
      <c r="AD73" s="173">
        <v>204</v>
      </c>
      <c r="AE73" s="161">
        <v>204</v>
      </c>
      <c r="AF73" s="162">
        <v>204</v>
      </c>
      <c r="AG73" s="118">
        <v>204</v>
      </c>
      <c r="AH73" s="118">
        <v>204</v>
      </c>
    </row>
    <row r="74" spans="3:58">
      <c r="C74" s="101">
        <v>26.19</v>
      </c>
      <c r="D74" s="102">
        <v>26.25</v>
      </c>
      <c r="E74" s="102">
        <v>25.96</v>
      </c>
      <c r="F74" s="102">
        <v>25.99</v>
      </c>
      <c r="G74" s="102">
        <v>26.04</v>
      </c>
      <c r="H74" s="101">
        <v>25.98</v>
      </c>
      <c r="AC74" s="172">
        <v>204</v>
      </c>
      <c r="AD74" s="173">
        <v>204</v>
      </c>
      <c r="AE74" s="161">
        <v>204</v>
      </c>
      <c r="AF74" s="162">
        <v>204</v>
      </c>
      <c r="AG74" s="118">
        <v>203</v>
      </c>
      <c r="AH74" s="118">
        <v>204</v>
      </c>
    </row>
    <row r="75" spans="3:58">
      <c r="C75" s="101">
        <v>26.3</v>
      </c>
      <c r="D75" s="102">
        <v>26.17</v>
      </c>
      <c r="E75" s="102">
        <v>25.84</v>
      </c>
      <c r="F75" s="102">
        <v>26.06</v>
      </c>
      <c r="G75" s="102">
        <v>25.99</v>
      </c>
      <c r="H75" s="101">
        <v>26.06</v>
      </c>
      <c r="AC75" s="172">
        <v>204</v>
      </c>
      <c r="AD75" s="173">
        <v>204</v>
      </c>
      <c r="AE75" s="161">
        <v>204</v>
      </c>
      <c r="AF75" s="162">
        <v>204</v>
      </c>
      <c r="AG75" s="118">
        <v>205</v>
      </c>
      <c r="AH75" s="118">
        <v>205</v>
      </c>
    </row>
    <row r="76" spans="3:58">
      <c r="C76" s="101">
        <v>26.25</v>
      </c>
      <c r="D76" s="102">
        <v>26.25</v>
      </c>
      <c r="E76" s="102">
        <v>25.86</v>
      </c>
      <c r="F76" s="102">
        <v>26</v>
      </c>
      <c r="G76" s="102">
        <v>25.95</v>
      </c>
      <c r="H76" s="101">
        <v>25.6</v>
      </c>
      <c r="AC76" s="172">
        <v>204</v>
      </c>
      <c r="AD76" s="173">
        <v>204</v>
      </c>
      <c r="AE76" s="161">
        <v>204</v>
      </c>
      <c r="AF76" s="162">
        <v>204</v>
      </c>
      <c r="AG76" s="118">
        <v>204</v>
      </c>
      <c r="AH76" s="118">
        <v>204</v>
      </c>
    </row>
    <row r="77" spans="3:58">
      <c r="C77" s="101">
        <v>26.28</v>
      </c>
      <c r="D77" s="102">
        <v>26.27</v>
      </c>
      <c r="E77" s="102">
        <v>26.02</v>
      </c>
      <c r="F77" s="102">
        <v>25.99</v>
      </c>
      <c r="G77" s="102">
        <v>25.71</v>
      </c>
      <c r="H77" s="101">
        <v>25.93</v>
      </c>
      <c r="AC77" s="172">
        <v>204</v>
      </c>
      <c r="AD77" s="173">
        <v>204</v>
      </c>
      <c r="AE77" s="161">
        <v>204</v>
      </c>
      <c r="AF77" s="162">
        <v>204</v>
      </c>
      <c r="AG77" s="118">
        <v>203</v>
      </c>
      <c r="AH77" s="118">
        <v>203</v>
      </c>
    </row>
    <row r="78" spans="3:58">
      <c r="C78" s="101">
        <v>26.27</v>
      </c>
      <c r="D78" s="102">
        <v>26.13</v>
      </c>
      <c r="E78" s="102">
        <v>25.82</v>
      </c>
      <c r="F78" s="102">
        <v>26</v>
      </c>
      <c r="G78" s="102">
        <v>25.75</v>
      </c>
      <c r="H78" s="101">
        <v>25.53</v>
      </c>
      <c r="AC78" s="172">
        <v>204</v>
      </c>
      <c r="AD78" s="173">
        <v>204</v>
      </c>
      <c r="AE78" s="161">
        <v>204</v>
      </c>
      <c r="AF78" s="162">
        <v>204</v>
      </c>
      <c r="AG78" s="118">
        <v>204</v>
      </c>
      <c r="AH78" s="118">
        <v>204</v>
      </c>
    </row>
    <row r="79" spans="3:58">
      <c r="C79" s="101">
        <v>26.34</v>
      </c>
      <c r="D79" s="102">
        <v>26.23</v>
      </c>
      <c r="E79" s="102">
        <v>26.01</v>
      </c>
      <c r="F79" s="102">
        <v>25.93</v>
      </c>
      <c r="G79" s="102">
        <v>26.12</v>
      </c>
      <c r="H79" s="101">
        <v>26.25</v>
      </c>
      <c r="AC79" s="172">
        <v>204</v>
      </c>
      <c r="AD79" s="173">
        <v>204</v>
      </c>
      <c r="AE79" s="161">
        <v>204</v>
      </c>
      <c r="AF79" s="162">
        <v>204</v>
      </c>
      <c r="AG79" s="118">
        <v>204</v>
      </c>
      <c r="AH79" s="118">
        <v>204</v>
      </c>
    </row>
    <row r="80" spans="3:58">
      <c r="C80" s="101">
        <v>26.26</v>
      </c>
      <c r="D80" s="102">
        <v>26.28</v>
      </c>
      <c r="E80" s="107">
        <v>28.36</v>
      </c>
      <c r="F80" s="107">
        <v>28.23</v>
      </c>
      <c r="G80" s="102">
        <v>25.97</v>
      </c>
      <c r="H80" s="101">
        <v>26.2</v>
      </c>
      <c r="AC80" s="172">
        <v>204</v>
      </c>
      <c r="AD80" s="173">
        <v>204</v>
      </c>
      <c r="AE80" s="161">
        <v>204</v>
      </c>
      <c r="AF80" s="162">
        <v>204</v>
      </c>
      <c r="AG80" s="118">
        <v>203</v>
      </c>
      <c r="AH80" s="118">
        <v>203</v>
      </c>
    </row>
    <row r="81" spans="3:34">
      <c r="C81" s="101">
        <v>26.35</v>
      </c>
      <c r="D81" s="102">
        <v>26.19</v>
      </c>
      <c r="E81" s="107">
        <v>28.35</v>
      </c>
      <c r="F81" s="107">
        <v>28.2</v>
      </c>
      <c r="G81" s="102">
        <v>25.89</v>
      </c>
      <c r="H81" s="101">
        <v>26.21</v>
      </c>
      <c r="AC81" s="172">
        <v>204</v>
      </c>
      <c r="AD81" s="173">
        <v>204</v>
      </c>
      <c r="AE81" s="161">
        <v>204</v>
      </c>
      <c r="AF81" s="162">
        <v>204</v>
      </c>
      <c r="AG81" s="118">
        <v>204</v>
      </c>
      <c r="AH81" s="118">
        <v>204</v>
      </c>
    </row>
    <row r="82" spans="3:34">
      <c r="C82" s="101">
        <v>26.3</v>
      </c>
      <c r="D82" s="102">
        <v>26.21</v>
      </c>
      <c r="E82" s="107">
        <v>27.92</v>
      </c>
      <c r="F82" s="107">
        <v>28.4</v>
      </c>
      <c r="G82" s="102">
        <v>26.21</v>
      </c>
      <c r="H82" s="101">
        <v>26.06</v>
      </c>
      <c r="AC82" s="172">
        <v>204</v>
      </c>
      <c r="AD82" s="173">
        <v>204</v>
      </c>
      <c r="AE82" s="161">
        <v>204</v>
      </c>
      <c r="AF82" s="162">
        <v>204</v>
      </c>
      <c r="AG82" s="75">
        <v>204</v>
      </c>
      <c r="AH82" s="67">
        <v>204</v>
      </c>
    </row>
    <row r="83" spans="3:34">
      <c r="C83" s="101">
        <v>26.22</v>
      </c>
      <c r="D83" s="102">
        <v>26.27</v>
      </c>
      <c r="E83" s="107">
        <v>26.57</v>
      </c>
      <c r="F83" s="107">
        <v>26.73</v>
      </c>
      <c r="G83" s="102">
        <v>26.24</v>
      </c>
      <c r="H83" s="101">
        <v>25.95</v>
      </c>
      <c r="AC83" s="172">
        <v>204</v>
      </c>
      <c r="AD83" s="173">
        <v>204</v>
      </c>
      <c r="AE83" s="161">
        <v>204</v>
      </c>
      <c r="AF83" s="162">
        <v>204</v>
      </c>
      <c r="AG83" s="172">
        <v>204</v>
      </c>
      <c r="AH83" s="173">
        <v>204</v>
      </c>
    </row>
    <row r="84" spans="3:34">
      <c r="C84" s="109">
        <v>26.31</v>
      </c>
      <c r="D84" s="102">
        <v>26.18</v>
      </c>
      <c r="E84" s="107">
        <v>26.76</v>
      </c>
      <c r="F84" s="107">
        <v>26.7</v>
      </c>
      <c r="G84" s="102">
        <v>25.88</v>
      </c>
      <c r="H84" s="101">
        <v>26.2</v>
      </c>
      <c r="AC84" s="172">
        <v>204</v>
      </c>
      <c r="AD84" s="173">
        <v>204</v>
      </c>
      <c r="AE84" s="161">
        <v>204</v>
      </c>
      <c r="AF84" s="162">
        <v>204</v>
      </c>
      <c r="AG84" s="172">
        <v>204</v>
      </c>
      <c r="AH84" s="173">
        <v>204</v>
      </c>
    </row>
    <row r="85" spans="3:34">
      <c r="C85" s="109">
        <v>26.31</v>
      </c>
      <c r="D85" s="102">
        <v>26.15</v>
      </c>
      <c r="E85" s="107">
        <v>26.08</v>
      </c>
      <c r="F85" s="107">
        <v>26.03</v>
      </c>
      <c r="G85" s="102">
        <v>25.93</v>
      </c>
      <c r="H85" s="101">
        <v>26.22</v>
      </c>
      <c r="AC85" s="172">
        <v>204</v>
      </c>
      <c r="AD85" s="173">
        <v>204</v>
      </c>
      <c r="AE85" s="161">
        <v>204</v>
      </c>
      <c r="AF85" s="162">
        <v>204</v>
      </c>
      <c r="AG85" s="172">
        <v>204</v>
      </c>
      <c r="AH85" s="173">
        <v>204</v>
      </c>
    </row>
    <row r="86" spans="3:34">
      <c r="C86" s="109">
        <v>26.23</v>
      </c>
      <c r="D86" s="102">
        <v>26.24</v>
      </c>
      <c r="E86" s="107">
        <v>26.49</v>
      </c>
      <c r="F86" s="107">
        <v>26.7</v>
      </c>
      <c r="G86" s="102">
        <v>26.14</v>
      </c>
      <c r="H86" s="101">
        <v>26.18</v>
      </c>
      <c r="AC86" s="172">
        <v>204</v>
      </c>
      <c r="AD86" s="173">
        <v>204</v>
      </c>
      <c r="AE86" s="161">
        <v>204</v>
      </c>
      <c r="AF86" s="162">
        <v>204</v>
      </c>
      <c r="AG86" s="172">
        <v>204</v>
      </c>
      <c r="AH86" s="173">
        <v>204</v>
      </c>
    </row>
    <row r="87" spans="3:34">
      <c r="C87" s="109">
        <v>26.13</v>
      </c>
      <c r="D87" s="102">
        <v>26.26</v>
      </c>
      <c r="E87" s="107">
        <v>26.2</v>
      </c>
      <c r="F87" s="107">
        <v>26.04</v>
      </c>
      <c r="G87" s="102">
        <v>26.3</v>
      </c>
      <c r="H87" s="101">
        <v>26.23</v>
      </c>
      <c r="AC87" s="172">
        <v>204</v>
      </c>
      <c r="AD87" s="173">
        <v>204</v>
      </c>
      <c r="AE87" s="161">
        <v>204</v>
      </c>
      <c r="AF87" s="162">
        <v>204</v>
      </c>
      <c r="AG87" s="172">
        <v>204</v>
      </c>
      <c r="AH87" s="173">
        <v>204</v>
      </c>
    </row>
    <row r="88" spans="3:34">
      <c r="C88" s="109">
        <v>26.27</v>
      </c>
      <c r="D88" s="102">
        <v>26.16</v>
      </c>
      <c r="E88" s="107">
        <v>26.56</v>
      </c>
      <c r="F88" s="107">
        <v>26.61</v>
      </c>
      <c r="G88" s="102">
        <v>26.26</v>
      </c>
      <c r="H88" s="101">
        <v>26.24</v>
      </c>
      <c r="AC88" s="172">
        <v>204</v>
      </c>
      <c r="AD88" s="173">
        <v>204</v>
      </c>
      <c r="AE88" s="161">
        <v>204</v>
      </c>
      <c r="AF88" s="162">
        <v>204</v>
      </c>
      <c r="AG88" s="172">
        <v>204</v>
      </c>
      <c r="AH88" s="173">
        <v>204</v>
      </c>
    </row>
    <row r="89" spans="3:34">
      <c r="C89" s="109">
        <v>26.25</v>
      </c>
      <c r="D89" s="102">
        <v>26.17</v>
      </c>
      <c r="E89" s="107">
        <v>26.69</v>
      </c>
      <c r="F89" s="107">
        <v>26.78</v>
      </c>
      <c r="G89" s="102">
        <v>26.12</v>
      </c>
      <c r="H89" s="101">
        <v>26.22</v>
      </c>
      <c r="AC89" s="172">
        <v>204</v>
      </c>
      <c r="AD89" s="173">
        <v>204</v>
      </c>
      <c r="AE89" s="161">
        <v>204</v>
      </c>
      <c r="AF89" s="162">
        <v>204</v>
      </c>
      <c r="AG89" s="172">
        <v>204</v>
      </c>
      <c r="AH89" s="173">
        <v>204</v>
      </c>
    </row>
    <row r="90" spans="3:34">
      <c r="C90" s="109">
        <v>26.28</v>
      </c>
      <c r="D90" s="102">
        <v>26.23</v>
      </c>
      <c r="E90" s="189">
        <v>26.1</v>
      </c>
      <c r="F90" s="55">
        <v>26.8</v>
      </c>
      <c r="G90" s="102">
        <v>25.77</v>
      </c>
      <c r="H90" s="101">
        <v>26.05</v>
      </c>
      <c r="AC90" s="172">
        <v>204</v>
      </c>
      <c r="AD90" s="173">
        <v>204</v>
      </c>
      <c r="AE90" s="161">
        <v>204</v>
      </c>
      <c r="AF90" s="162">
        <v>204</v>
      </c>
      <c r="AG90" s="172">
        <v>204</v>
      </c>
      <c r="AH90" s="173">
        <v>204</v>
      </c>
    </row>
    <row r="91" spans="3:34">
      <c r="C91" s="109">
        <v>26.24</v>
      </c>
      <c r="D91" s="102">
        <v>26.24</v>
      </c>
      <c r="E91" s="102">
        <v>26.16</v>
      </c>
      <c r="F91" s="101">
        <v>26.05</v>
      </c>
      <c r="G91" s="102">
        <v>26.23</v>
      </c>
      <c r="H91" s="101">
        <v>26.04</v>
      </c>
      <c r="AC91" s="172">
        <v>204</v>
      </c>
      <c r="AD91" s="173">
        <v>204</v>
      </c>
      <c r="AE91" s="161">
        <v>204</v>
      </c>
      <c r="AF91" s="162">
        <v>204</v>
      </c>
      <c r="AG91" s="172">
        <v>204</v>
      </c>
      <c r="AH91" s="173">
        <v>204</v>
      </c>
    </row>
    <row r="92" spans="3:34">
      <c r="C92" s="109">
        <v>26.23</v>
      </c>
      <c r="D92" s="102">
        <v>26.28</v>
      </c>
      <c r="E92" s="102">
        <v>25.72</v>
      </c>
      <c r="F92" s="101">
        <v>25.89</v>
      </c>
      <c r="G92" s="102">
        <v>26.18</v>
      </c>
      <c r="H92" s="101">
        <v>26.3</v>
      </c>
      <c r="AC92" s="172">
        <v>204</v>
      </c>
      <c r="AD92" s="173">
        <v>204</v>
      </c>
      <c r="AE92" s="161">
        <v>204</v>
      </c>
      <c r="AF92" s="162">
        <v>204</v>
      </c>
      <c r="AG92" s="172">
        <v>204</v>
      </c>
      <c r="AH92" s="173">
        <v>204</v>
      </c>
    </row>
    <row r="93" spans="3:34">
      <c r="C93" s="109">
        <v>26.18</v>
      </c>
      <c r="D93" s="102">
        <v>26.3</v>
      </c>
      <c r="E93" s="102">
        <v>25.93</v>
      </c>
      <c r="F93" s="101">
        <v>25.98</v>
      </c>
      <c r="G93" s="102">
        <v>26.12</v>
      </c>
      <c r="H93" s="101">
        <v>25.75</v>
      </c>
      <c r="AC93" s="172">
        <v>204</v>
      </c>
      <c r="AD93" s="173">
        <v>204</v>
      </c>
      <c r="AE93" s="161">
        <v>204</v>
      </c>
      <c r="AF93" s="162">
        <v>204</v>
      </c>
      <c r="AG93" s="172">
        <v>204</v>
      </c>
      <c r="AH93" s="173">
        <v>204</v>
      </c>
    </row>
    <row r="94" spans="3:34">
      <c r="C94" s="55">
        <v>28.55</v>
      </c>
      <c r="D94" s="55">
        <v>28.82</v>
      </c>
      <c r="E94" s="102">
        <v>25.85</v>
      </c>
      <c r="F94" s="101">
        <v>25.94</v>
      </c>
      <c r="G94" s="102">
        <v>25.91</v>
      </c>
      <c r="H94" s="101">
        <v>26.25</v>
      </c>
      <c r="AC94" s="172">
        <v>204</v>
      </c>
      <c r="AD94" s="173">
        <v>204</v>
      </c>
      <c r="AE94" s="161">
        <v>204</v>
      </c>
      <c r="AF94" s="162">
        <v>204</v>
      </c>
      <c r="AG94" s="172">
        <v>204</v>
      </c>
      <c r="AH94" s="173">
        <v>204</v>
      </c>
    </row>
    <row r="95" spans="3:34">
      <c r="C95" s="102">
        <v>26.21</v>
      </c>
      <c r="D95" s="101">
        <v>26.05</v>
      </c>
      <c r="E95" s="102">
        <v>25.91</v>
      </c>
      <c r="F95" s="101">
        <v>25.65</v>
      </c>
      <c r="G95" s="102">
        <v>26.17</v>
      </c>
      <c r="H95" s="101">
        <v>26.25</v>
      </c>
      <c r="AC95" s="172">
        <v>204</v>
      </c>
      <c r="AD95" s="173">
        <v>204</v>
      </c>
      <c r="AE95" s="161">
        <v>204</v>
      </c>
      <c r="AF95" s="162">
        <v>204</v>
      </c>
      <c r="AG95" s="172">
        <v>204</v>
      </c>
      <c r="AH95" s="173">
        <v>204</v>
      </c>
    </row>
    <row r="96" spans="3:34">
      <c r="C96" s="102">
        <v>26.09</v>
      </c>
      <c r="D96" s="101">
        <v>26.17</v>
      </c>
      <c r="E96" s="102">
        <v>25.96</v>
      </c>
      <c r="F96" s="101">
        <v>26.01</v>
      </c>
      <c r="G96" s="102">
        <v>25.6</v>
      </c>
      <c r="H96" s="101">
        <v>25.7</v>
      </c>
      <c r="AC96" s="172">
        <v>204</v>
      </c>
      <c r="AD96" s="173">
        <v>204</v>
      </c>
      <c r="AE96" s="161">
        <v>204</v>
      </c>
      <c r="AF96" s="162">
        <v>204</v>
      </c>
      <c r="AG96" s="172">
        <v>204</v>
      </c>
      <c r="AH96" s="173">
        <v>204</v>
      </c>
    </row>
    <row r="97" spans="3:34">
      <c r="C97" s="102">
        <v>26.24</v>
      </c>
      <c r="D97" s="101">
        <v>26.3</v>
      </c>
      <c r="E97" s="102">
        <v>26.2</v>
      </c>
      <c r="F97" s="101">
        <v>26</v>
      </c>
      <c r="G97" s="102">
        <v>25.95</v>
      </c>
      <c r="H97" s="101">
        <v>26.24</v>
      </c>
      <c r="AC97" s="172">
        <v>204</v>
      </c>
      <c r="AD97" s="173">
        <v>204</v>
      </c>
      <c r="AE97" s="161">
        <v>204</v>
      </c>
      <c r="AF97" s="162">
        <v>204</v>
      </c>
      <c r="AG97" s="172">
        <v>204</v>
      </c>
      <c r="AH97" s="173">
        <v>204</v>
      </c>
    </row>
    <row r="98" spans="3:34">
      <c r="C98" s="102">
        <v>26.17</v>
      </c>
      <c r="D98" s="101">
        <v>26.25</v>
      </c>
      <c r="E98" s="102">
        <v>26.1</v>
      </c>
      <c r="F98" s="101">
        <v>26.04</v>
      </c>
      <c r="G98" s="102">
        <v>26.18</v>
      </c>
      <c r="H98" s="101">
        <v>25.81</v>
      </c>
      <c r="AC98" s="172">
        <v>204</v>
      </c>
      <c r="AD98" s="173">
        <v>204</v>
      </c>
      <c r="AE98" s="161">
        <v>204</v>
      </c>
      <c r="AF98" s="162">
        <v>204</v>
      </c>
      <c r="AG98" s="172">
        <v>204</v>
      </c>
      <c r="AH98" s="173">
        <v>204</v>
      </c>
    </row>
    <row r="99" spans="3:34">
      <c r="C99" s="102">
        <v>26.23</v>
      </c>
      <c r="D99" s="101">
        <v>26.39</v>
      </c>
      <c r="E99" s="102">
        <v>25.88</v>
      </c>
      <c r="F99" s="101">
        <v>26</v>
      </c>
      <c r="G99" s="102">
        <v>26.2</v>
      </c>
      <c r="H99" s="101">
        <v>26.21</v>
      </c>
      <c r="AC99" s="172">
        <v>204</v>
      </c>
      <c r="AD99" s="173">
        <v>204</v>
      </c>
      <c r="AE99" s="161">
        <v>204</v>
      </c>
      <c r="AF99" s="162">
        <v>204</v>
      </c>
      <c r="AG99" s="172">
        <v>204</v>
      </c>
      <c r="AH99" s="173">
        <v>204</v>
      </c>
    </row>
    <row r="100" spans="3:34">
      <c r="C100" s="102">
        <v>26.11</v>
      </c>
      <c r="D100" s="101">
        <v>26.17</v>
      </c>
      <c r="E100" s="102">
        <v>25.95</v>
      </c>
      <c r="F100" s="101">
        <v>25.91</v>
      </c>
      <c r="G100" s="102">
        <v>26.34</v>
      </c>
      <c r="H100" s="101">
        <v>26.25</v>
      </c>
      <c r="AC100" s="172">
        <v>204</v>
      </c>
      <c r="AD100" s="173">
        <v>204</v>
      </c>
      <c r="AE100" s="161">
        <v>204</v>
      </c>
      <c r="AF100" s="162">
        <v>204</v>
      </c>
      <c r="AG100" s="172">
        <v>204</v>
      </c>
      <c r="AH100" s="173">
        <v>204</v>
      </c>
    </row>
    <row r="101" spans="3:34">
      <c r="C101" s="102">
        <v>26.07</v>
      </c>
      <c r="D101" s="101">
        <v>26.14</v>
      </c>
      <c r="E101" s="102">
        <v>25.94</v>
      </c>
      <c r="F101" s="101">
        <v>25.94</v>
      </c>
      <c r="G101" s="102">
        <v>26.2</v>
      </c>
      <c r="H101" s="101">
        <v>26.22</v>
      </c>
      <c r="AC101" s="75">
        <v>205</v>
      </c>
      <c r="AD101" s="162">
        <v>204</v>
      </c>
      <c r="AE101" s="161">
        <v>204</v>
      </c>
      <c r="AF101" s="162">
        <v>204</v>
      </c>
      <c r="AG101" s="172">
        <v>204</v>
      </c>
      <c r="AH101" s="173">
        <v>204</v>
      </c>
    </row>
    <row r="102" spans="3:34">
      <c r="C102" s="102">
        <v>26.07</v>
      </c>
      <c r="D102" s="101">
        <v>26.2</v>
      </c>
      <c r="E102" s="102">
        <v>26.06</v>
      </c>
      <c r="F102" s="101">
        <v>26.1</v>
      </c>
      <c r="G102" s="102">
        <v>26.2</v>
      </c>
      <c r="H102" s="101">
        <v>26.15</v>
      </c>
      <c r="AC102" s="172">
        <v>205</v>
      </c>
      <c r="AD102" s="173">
        <v>205</v>
      </c>
      <c r="AE102" s="161">
        <v>204</v>
      </c>
      <c r="AF102" s="162">
        <v>204</v>
      </c>
      <c r="AG102" s="172">
        <v>204</v>
      </c>
      <c r="AH102" s="173">
        <v>204</v>
      </c>
    </row>
    <row r="103" spans="3:34">
      <c r="C103" s="102">
        <v>26.11</v>
      </c>
      <c r="D103" s="101">
        <v>26.16</v>
      </c>
      <c r="E103" s="102">
        <v>25.98</v>
      </c>
      <c r="F103" s="101">
        <v>25.97</v>
      </c>
      <c r="G103" s="102">
        <v>26.23</v>
      </c>
      <c r="H103" s="101">
        <v>26.37</v>
      </c>
      <c r="AC103" s="172">
        <v>204</v>
      </c>
      <c r="AD103" s="173">
        <v>204</v>
      </c>
      <c r="AE103" s="161">
        <v>204</v>
      </c>
      <c r="AF103" s="162">
        <v>204</v>
      </c>
      <c r="AG103" s="172">
        <v>204</v>
      </c>
      <c r="AH103" s="173">
        <v>204</v>
      </c>
    </row>
    <row r="104" spans="3:34">
      <c r="C104" s="102">
        <v>26.1</v>
      </c>
      <c r="D104" s="101">
        <v>26.23</v>
      </c>
      <c r="E104" s="102">
        <v>26.01</v>
      </c>
      <c r="F104" s="101">
        <v>26.15</v>
      </c>
      <c r="G104" s="102">
        <v>26.26</v>
      </c>
      <c r="H104" s="101">
        <v>26.26</v>
      </c>
      <c r="AC104" s="172">
        <v>204</v>
      </c>
      <c r="AD104" s="173">
        <v>204</v>
      </c>
      <c r="AE104" s="161">
        <v>204</v>
      </c>
      <c r="AF104" s="162">
        <v>204</v>
      </c>
      <c r="AG104" s="172">
        <v>204</v>
      </c>
      <c r="AH104" s="173">
        <v>204</v>
      </c>
    </row>
    <row r="105" spans="3:34">
      <c r="C105" s="102">
        <v>26.06</v>
      </c>
      <c r="D105" s="101">
        <v>26.28</v>
      </c>
      <c r="E105" s="102">
        <v>25.97</v>
      </c>
      <c r="F105" s="101">
        <v>25.83</v>
      </c>
      <c r="G105" s="102">
        <v>26.21</v>
      </c>
      <c r="H105" s="101">
        <v>26.25</v>
      </c>
      <c r="AC105" s="172">
        <v>204</v>
      </c>
      <c r="AD105" s="173">
        <v>204</v>
      </c>
      <c r="AE105" s="161">
        <v>204</v>
      </c>
      <c r="AF105" s="162">
        <v>204</v>
      </c>
      <c r="AG105" s="172">
        <v>204</v>
      </c>
      <c r="AH105" s="173">
        <v>204</v>
      </c>
    </row>
    <row r="106" spans="3:34">
      <c r="C106" s="102">
        <v>26.1</v>
      </c>
      <c r="D106" s="101">
        <v>26.22</v>
      </c>
      <c r="E106" s="102">
        <v>26.03</v>
      </c>
      <c r="F106" s="101">
        <v>26</v>
      </c>
      <c r="G106" s="102">
        <v>26.35</v>
      </c>
      <c r="H106" s="101">
        <v>26.23</v>
      </c>
      <c r="AC106" s="172">
        <v>205</v>
      </c>
      <c r="AD106" s="173">
        <v>204</v>
      </c>
      <c r="AE106" s="161">
        <v>204</v>
      </c>
      <c r="AF106" s="162">
        <v>204</v>
      </c>
      <c r="AG106" s="172">
        <v>204</v>
      </c>
      <c r="AH106" s="173">
        <v>204</v>
      </c>
    </row>
    <row r="107" spans="3:34">
      <c r="C107" s="102">
        <v>26.1</v>
      </c>
      <c r="D107" s="101">
        <v>26.14</v>
      </c>
      <c r="E107" s="102">
        <v>26.15</v>
      </c>
      <c r="F107" s="101">
        <v>26</v>
      </c>
      <c r="G107" s="102">
        <v>26.25</v>
      </c>
      <c r="H107" s="101">
        <v>26.19</v>
      </c>
      <c r="AC107" s="172">
        <v>204</v>
      </c>
      <c r="AD107" s="173">
        <v>204</v>
      </c>
      <c r="AE107" s="161">
        <v>204</v>
      </c>
      <c r="AF107" s="162">
        <v>204</v>
      </c>
      <c r="AG107" s="172">
        <v>204</v>
      </c>
      <c r="AH107" s="173">
        <v>204</v>
      </c>
    </row>
    <row r="108" spans="3:34">
      <c r="C108" s="102">
        <v>26.32</v>
      </c>
      <c r="D108" s="101">
        <v>26.33</v>
      </c>
      <c r="E108" s="102">
        <v>26.21</v>
      </c>
      <c r="F108" s="101">
        <v>26.25</v>
      </c>
      <c r="G108" s="102">
        <v>26.22</v>
      </c>
      <c r="H108" s="101">
        <v>26.23</v>
      </c>
      <c r="AC108" s="172">
        <v>204</v>
      </c>
      <c r="AD108" s="173">
        <v>204</v>
      </c>
      <c r="AE108" s="161">
        <v>204</v>
      </c>
      <c r="AF108" s="162">
        <v>204</v>
      </c>
      <c r="AG108" s="172">
        <v>204</v>
      </c>
      <c r="AH108" s="173">
        <v>204</v>
      </c>
    </row>
    <row r="109" spans="3:34">
      <c r="C109" s="102">
        <v>26.06</v>
      </c>
      <c r="D109" s="101">
        <v>26.08</v>
      </c>
      <c r="E109" s="102">
        <v>26.02</v>
      </c>
      <c r="F109" s="101">
        <v>25.98</v>
      </c>
      <c r="G109" s="102">
        <v>26.3</v>
      </c>
      <c r="H109" s="101">
        <v>26.18</v>
      </c>
      <c r="AC109" s="172">
        <v>204</v>
      </c>
      <c r="AD109" s="173">
        <v>204</v>
      </c>
      <c r="AE109" s="161">
        <v>204</v>
      </c>
      <c r="AF109" s="162">
        <v>204</v>
      </c>
      <c r="AG109" s="172">
        <v>204</v>
      </c>
      <c r="AH109" s="173">
        <v>204</v>
      </c>
    </row>
    <row r="110" spans="3:34">
      <c r="C110" s="102">
        <v>26.16</v>
      </c>
      <c r="D110" s="101">
        <v>26.09</v>
      </c>
      <c r="E110" s="102">
        <v>26.16</v>
      </c>
      <c r="F110" s="101">
        <v>26.01</v>
      </c>
      <c r="G110" s="102">
        <v>26.18</v>
      </c>
      <c r="H110" s="101">
        <v>26.2</v>
      </c>
      <c r="AC110" s="172">
        <v>204</v>
      </c>
      <c r="AD110" s="173">
        <v>204</v>
      </c>
      <c r="AE110" s="161">
        <v>204</v>
      </c>
      <c r="AF110" s="162">
        <v>204</v>
      </c>
      <c r="AG110" s="172">
        <v>204</v>
      </c>
      <c r="AH110" s="173">
        <v>204</v>
      </c>
    </row>
    <row r="111" spans="3:34">
      <c r="C111" s="102">
        <v>26.26</v>
      </c>
      <c r="D111" s="101">
        <v>26.33</v>
      </c>
      <c r="E111" s="102">
        <v>26</v>
      </c>
      <c r="F111" s="101">
        <v>26</v>
      </c>
      <c r="G111" s="102">
        <v>26.2</v>
      </c>
      <c r="H111" s="101">
        <v>26.23</v>
      </c>
      <c r="AC111" s="172">
        <v>204</v>
      </c>
      <c r="AD111" s="173">
        <v>204</v>
      </c>
      <c r="AE111" s="161">
        <v>204</v>
      </c>
      <c r="AF111" s="162">
        <v>204</v>
      </c>
      <c r="AG111" s="172">
        <v>204</v>
      </c>
      <c r="AH111" s="173">
        <v>204</v>
      </c>
    </row>
    <row r="112" spans="3:34">
      <c r="C112" s="102">
        <v>26.03</v>
      </c>
      <c r="D112" s="101">
        <v>26.17</v>
      </c>
      <c r="E112" s="102">
        <v>25.92</v>
      </c>
      <c r="F112" s="101">
        <v>25.98</v>
      </c>
      <c r="G112" s="102">
        <v>26.22</v>
      </c>
      <c r="H112" s="101">
        <v>26.14</v>
      </c>
      <c r="AC112" s="172">
        <v>204</v>
      </c>
      <c r="AD112" s="173">
        <v>204</v>
      </c>
      <c r="AE112" s="161">
        <v>204</v>
      </c>
      <c r="AF112" s="162">
        <v>204</v>
      </c>
      <c r="AG112" s="172">
        <v>204</v>
      </c>
      <c r="AH112" s="173">
        <v>204</v>
      </c>
    </row>
    <row r="113" spans="3:34">
      <c r="C113" s="102">
        <v>26.1</v>
      </c>
      <c r="D113" s="101">
        <v>26.19</v>
      </c>
      <c r="E113" s="102">
        <v>26.14</v>
      </c>
      <c r="F113" s="101">
        <v>26.06</v>
      </c>
      <c r="G113" s="102">
        <v>26.14</v>
      </c>
      <c r="H113" s="101">
        <v>26.15</v>
      </c>
      <c r="AC113" s="172">
        <v>204</v>
      </c>
      <c r="AD113" s="173">
        <v>204</v>
      </c>
      <c r="AE113" s="161">
        <v>204</v>
      </c>
      <c r="AF113" s="162">
        <v>204</v>
      </c>
      <c r="AG113" s="172">
        <v>204</v>
      </c>
      <c r="AH113" s="173">
        <v>204</v>
      </c>
    </row>
    <row r="114" spans="3:34">
      <c r="C114" s="102">
        <v>26.14</v>
      </c>
      <c r="D114" s="101">
        <v>26.18</v>
      </c>
      <c r="E114" s="102">
        <v>26.23</v>
      </c>
      <c r="F114" s="101">
        <v>25.98</v>
      </c>
      <c r="G114" s="102">
        <v>26.34</v>
      </c>
      <c r="H114" s="101">
        <v>26.21</v>
      </c>
      <c r="AC114" s="172">
        <v>205</v>
      </c>
      <c r="AD114" s="173">
        <v>204</v>
      </c>
      <c r="AE114" s="161">
        <v>204</v>
      </c>
      <c r="AF114" s="162">
        <v>204</v>
      </c>
      <c r="AG114" s="172">
        <v>204</v>
      </c>
      <c r="AH114" s="173">
        <v>204</v>
      </c>
    </row>
    <row r="115" spans="3:34">
      <c r="C115" s="102">
        <v>26.25</v>
      </c>
      <c r="D115" s="101">
        <v>26.45</v>
      </c>
      <c r="E115" s="102">
        <v>26.04</v>
      </c>
      <c r="F115" s="101">
        <v>25.94</v>
      </c>
      <c r="G115" s="102">
        <v>26.42</v>
      </c>
      <c r="H115" s="101">
        <v>26.15</v>
      </c>
      <c r="AC115" s="172">
        <v>204</v>
      </c>
      <c r="AD115" s="173">
        <v>204</v>
      </c>
      <c r="AE115" s="161">
        <v>204</v>
      </c>
      <c r="AF115" s="162">
        <v>204</v>
      </c>
      <c r="AG115" s="172">
        <v>204</v>
      </c>
      <c r="AH115" s="173">
        <v>204</v>
      </c>
    </row>
    <row r="116" spans="3:34">
      <c r="C116" s="102">
        <v>26.3</v>
      </c>
      <c r="D116" s="101">
        <v>26.35</v>
      </c>
      <c r="E116" s="102">
        <v>26.06</v>
      </c>
      <c r="F116" s="101">
        <v>26.06</v>
      </c>
      <c r="G116" s="102">
        <v>26.07</v>
      </c>
      <c r="H116" s="101">
        <v>26.44</v>
      </c>
      <c r="AC116" s="172">
        <v>204</v>
      </c>
      <c r="AD116" s="173">
        <v>204</v>
      </c>
      <c r="AE116" s="161">
        <v>204</v>
      </c>
      <c r="AF116" s="162">
        <v>204</v>
      </c>
      <c r="AG116" s="172">
        <v>204</v>
      </c>
      <c r="AH116" s="173">
        <v>204</v>
      </c>
    </row>
    <row r="117" spans="3:34">
      <c r="C117" s="102">
        <v>26.1</v>
      </c>
      <c r="D117" s="101">
        <v>26.22</v>
      </c>
      <c r="E117" s="102">
        <v>26.05</v>
      </c>
      <c r="F117" s="101">
        <v>26.07</v>
      </c>
      <c r="G117" s="102">
        <v>26.41</v>
      </c>
      <c r="H117" s="101">
        <v>26.2</v>
      </c>
      <c r="AC117" s="172">
        <v>204</v>
      </c>
      <c r="AD117" s="173">
        <v>204</v>
      </c>
      <c r="AE117" s="161">
        <v>204</v>
      </c>
      <c r="AF117" s="162">
        <v>204</v>
      </c>
      <c r="AG117" s="172">
        <v>204</v>
      </c>
      <c r="AH117" s="173">
        <v>204</v>
      </c>
    </row>
    <row r="118" spans="3:34">
      <c r="C118" s="102">
        <v>26.1</v>
      </c>
      <c r="D118" s="101">
        <v>26.16</v>
      </c>
      <c r="E118" s="102">
        <v>26.01</v>
      </c>
      <c r="F118" s="101">
        <v>26.1</v>
      </c>
      <c r="G118" s="102">
        <v>26.34</v>
      </c>
      <c r="H118" s="101">
        <v>26.17</v>
      </c>
      <c r="AC118" s="172">
        <v>204</v>
      </c>
      <c r="AD118" s="173">
        <v>204</v>
      </c>
      <c r="AE118" s="161">
        <v>204</v>
      </c>
      <c r="AF118" s="162">
        <v>204</v>
      </c>
      <c r="AG118" s="172">
        <v>204</v>
      </c>
      <c r="AH118" s="173">
        <v>204</v>
      </c>
    </row>
    <row r="119" spans="3:34">
      <c r="C119" s="102">
        <v>26.25</v>
      </c>
      <c r="D119" s="101">
        <v>26.25</v>
      </c>
      <c r="E119" s="102">
        <v>26.03</v>
      </c>
      <c r="F119" s="101">
        <v>26.07</v>
      </c>
      <c r="G119" s="102">
        <v>26.18</v>
      </c>
      <c r="H119" s="101">
        <v>26.19</v>
      </c>
      <c r="AC119" s="172">
        <v>204</v>
      </c>
      <c r="AD119" s="173">
        <v>204</v>
      </c>
      <c r="AE119" s="161">
        <v>204</v>
      </c>
      <c r="AF119" s="162">
        <v>204</v>
      </c>
      <c r="AG119" s="172">
        <v>204</v>
      </c>
      <c r="AH119" s="173">
        <v>204</v>
      </c>
    </row>
    <row r="120" spans="3:34">
      <c r="C120" s="102">
        <v>26.12</v>
      </c>
      <c r="D120" s="101">
        <v>26.17</v>
      </c>
      <c r="E120" s="102">
        <v>26.05</v>
      </c>
      <c r="F120" s="101">
        <v>25.95</v>
      </c>
      <c r="G120" s="102">
        <v>26.35</v>
      </c>
      <c r="H120" s="101">
        <v>26.12</v>
      </c>
      <c r="AC120" s="172">
        <v>204</v>
      </c>
      <c r="AD120" s="173">
        <v>204</v>
      </c>
      <c r="AE120" s="161">
        <v>204</v>
      </c>
      <c r="AF120" s="162">
        <v>204</v>
      </c>
      <c r="AG120" s="172">
        <v>204</v>
      </c>
      <c r="AH120" s="173">
        <v>204</v>
      </c>
    </row>
    <row r="121" spans="3:34">
      <c r="C121" s="102">
        <v>26.25</v>
      </c>
      <c r="D121" s="101">
        <v>26.46</v>
      </c>
      <c r="E121" s="102">
        <v>26.04</v>
      </c>
      <c r="F121" s="101">
        <v>25.92</v>
      </c>
      <c r="G121" s="102">
        <v>26.06</v>
      </c>
      <c r="H121" s="101">
        <v>26.21</v>
      </c>
      <c r="AC121" s="172">
        <v>204</v>
      </c>
      <c r="AD121" s="173">
        <v>204</v>
      </c>
      <c r="AE121" s="161">
        <v>204</v>
      </c>
      <c r="AF121" s="162">
        <v>204</v>
      </c>
      <c r="AG121" s="172">
        <v>204</v>
      </c>
      <c r="AH121" s="173">
        <v>204</v>
      </c>
    </row>
    <row r="122" spans="3:34">
      <c r="C122" s="102">
        <v>26.26</v>
      </c>
      <c r="D122" s="101">
        <v>26.38</v>
      </c>
      <c r="E122" s="102">
        <v>26.07</v>
      </c>
      <c r="F122" s="101">
        <v>26.03</v>
      </c>
      <c r="G122" s="102">
        <v>26.15</v>
      </c>
      <c r="H122" s="101">
        <v>26.58</v>
      </c>
      <c r="AC122" s="75">
        <v>203</v>
      </c>
      <c r="AD122" s="67">
        <v>204</v>
      </c>
      <c r="AE122" s="161">
        <v>204</v>
      </c>
      <c r="AF122" s="162">
        <v>204</v>
      </c>
      <c r="AG122" s="172">
        <v>204</v>
      </c>
      <c r="AH122" s="173">
        <v>204</v>
      </c>
    </row>
    <row r="123" spans="3:34">
      <c r="C123" s="102">
        <v>26.26</v>
      </c>
      <c r="D123" s="101">
        <v>26.36</v>
      </c>
      <c r="E123" s="102">
        <v>26.07</v>
      </c>
      <c r="F123" s="101">
        <v>26.05</v>
      </c>
      <c r="G123" s="102">
        <v>26.07</v>
      </c>
      <c r="H123" s="101">
        <v>26.37</v>
      </c>
      <c r="AC123" s="75">
        <v>204</v>
      </c>
      <c r="AD123" s="173">
        <v>204</v>
      </c>
      <c r="AE123" s="161">
        <v>204</v>
      </c>
      <c r="AF123" s="162">
        <v>204</v>
      </c>
      <c r="AG123" s="172">
        <v>206</v>
      </c>
      <c r="AH123" s="173">
        <v>206</v>
      </c>
    </row>
    <row r="124" spans="3:34">
      <c r="C124" s="102">
        <v>26.41</v>
      </c>
      <c r="D124" s="101">
        <v>26.21</v>
      </c>
      <c r="E124" s="102">
        <v>25.94</v>
      </c>
      <c r="F124" s="101">
        <v>26.06</v>
      </c>
      <c r="G124" s="102">
        <v>26.21</v>
      </c>
      <c r="H124" s="101">
        <v>26.36</v>
      </c>
      <c r="AC124" s="75">
        <v>204</v>
      </c>
      <c r="AD124" s="173">
        <v>204</v>
      </c>
      <c r="AE124" s="161">
        <v>204</v>
      </c>
      <c r="AF124" s="162">
        <v>204</v>
      </c>
      <c r="AG124" s="172">
        <v>206</v>
      </c>
      <c r="AH124" s="173">
        <v>206</v>
      </c>
    </row>
    <row r="125" spans="3:34">
      <c r="C125" s="102">
        <v>26.38</v>
      </c>
      <c r="D125" s="101">
        <v>26.21</v>
      </c>
      <c r="E125" s="102">
        <v>25.94</v>
      </c>
      <c r="F125" s="101">
        <v>26.05</v>
      </c>
      <c r="G125" s="102">
        <v>26.16</v>
      </c>
      <c r="H125" s="101">
        <v>26.26</v>
      </c>
      <c r="AC125" s="178">
        <v>204</v>
      </c>
      <c r="AD125" s="198">
        <v>204</v>
      </c>
      <c r="AE125" s="161">
        <v>204</v>
      </c>
      <c r="AF125" s="162">
        <v>204</v>
      </c>
      <c r="AG125" s="172">
        <v>206</v>
      </c>
      <c r="AH125" s="173">
        <v>206</v>
      </c>
    </row>
    <row r="126" spans="3:34">
      <c r="C126" s="102">
        <v>26.3</v>
      </c>
      <c r="D126" s="101">
        <v>26.22</v>
      </c>
      <c r="E126" s="102">
        <v>26.09</v>
      </c>
      <c r="F126" s="101">
        <v>26.1</v>
      </c>
      <c r="G126" s="102">
        <v>26.02</v>
      </c>
      <c r="H126" s="101">
        <v>26.17</v>
      </c>
      <c r="AC126" s="178">
        <v>204</v>
      </c>
      <c r="AD126" s="198">
        <v>204</v>
      </c>
      <c r="AE126" s="161">
        <v>204</v>
      </c>
      <c r="AF126" s="162">
        <v>204</v>
      </c>
      <c r="AG126" s="172">
        <v>206</v>
      </c>
      <c r="AH126" s="173">
        <v>206</v>
      </c>
    </row>
    <row r="127" spans="3:34">
      <c r="C127" s="102">
        <v>26.47</v>
      </c>
      <c r="D127" s="101">
        <v>26.21</v>
      </c>
      <c r="E127" s="102">
        <v>26.09</v>
      </c>
      <c r="F127" s="101">
        <v>26.08</v>
      </c>
      <c r="G127" s="102">
        <v>26.1</v>
      </c>
      <c r="H127" s="101">
        <v>26.3</v>
      </c>
      <c r="AC127" s="178">
        <v>204</v>
      </c>
      <c r="AD127" s="198">
        <v>204</v>
      </c>
      <c r="AE127" s="161">
        <v>204</v>
      </c>
      <c r="AF127" s="162">
        <v>204</v>
      </c>
      <c r="AG127" s="172">
        <v>206</v>
      </c>
      <c r="AH127" s="173">
        <v>206</v>
      </c>
    </row>
    <row r="128" spans="3:34">
      <c r="C128" s="102">
        <v>26.44</v>
      </c>
      <c r="D128" s="101">
        <v>26.23</v>
      </c>
      <c r="E128" s="102">
        <v>26.09</v>
      </c>
      <c r="F128" s="101">
        <v>25.94</v>
      </c>
      <c r="G128" s="102">
        <v>26.1</v>
      </c>
      <c r="H128" s="101">
        <v>26.13</v>
      </c>
      <c r="AC128" s="178">
        <v>204</v>
      </c>
      <c r="AD128" s="198">
        <v>204</v>
      </c>
      <c r="AE128" s="161">
        <v>204</v>
      </c>
      <c r="AF128" s="162">
        <v>204</v>
      </c>
      <c r="AG128" s="172">
        <v>206</v>
      </c>
      <c r="AH128" s="173">
        <v>206</v>
      </c>
    </row>
    <row r="129" spans="3:34">
      <c r="C129" s="102">
        <v>26.37</v>
      </c>
      <c r="D129" s="101">
        <v>26.29</v>
      </c>
      <c r="E129" s="102">
        <v>26.08</v>
      </c>
      <c r="F129" s="101">
        <v>25.94</v>
      </c>
      <c r="G129" s="102">
        <v>25.66</v>
      </c>
      <c r="H129" s="101">
        <v>25.65</v>
      </c>
      <c r="AC129" s="178">
        <v>204</v>
      </c>
      <c r="AD129" s="198">
        <v>204</v>
      </c>
      <c r="AE129" s="161">
        <v>204</v>
      </c>
      <c r="AF129" s="162">
        <v>204</v>
      </c>
      <c r="AG129" s="172">
        <v>206</v>
      </c>
      <c r="AH129" s="173">
        <v>206</v>
      </c>
    </row>
    <row r="130" spans="3:34">
      <c r="C130" s="102">
        <v>26.41</v>
      </c>
      <c r="D130" s="101">
        <v>26.18</v>
      </c>
      <c r="E130" s="102">
        <v>26.09</v>
      </c>
      <c r="F130" s="101">
        <v>26.03</v>
      </c>
      <c r="G130" s="102">
        <v>25.64</v>
      </c>
      <c r="H130" s="101">
        <v>25.64</v>
      </c>
      <c r="AC130" s="178">
        <v>204</v>
      </c>
      <c r="AD130" s="198">
        <v>204</v>
      </c>
      <c r="AE130" s="161">
        <v>204</v>
      </c>
      <c r="AF130" s="162">
        <v>204</v>
      </c>
      <c r="AG130" s="172">
        <v>206</v>
      </c>
      <c r="AH130" s="173">
        <v>206</v>
      </c>
    </row>
    <row r="131" spans="3:34">
      <c r="C131" s="102">
        <v>26.19</v>
      </c>
      <c r="D131" s="101">
        <v>26.1</v>
      </c>
      <c r="E131" s="102">
        <v>26.06</v>
      </c>
      <c r="F131" s="101">
        <v>26.08</v>
      </c>
      <c r="G131" s="102">
        <v>25.68</v>
      </c>
      <c r="H131" s="101">
        <v>25.68</v>
      </c>
      <c r="AC131" s="178">
        <v>204</v>
      </c>
      <c r="AD131" s="198">
        <v>204</v>
      </c>
      <c r="AE131" s="161">
        <v>204</v>
      </c>
      <c r="AF131" s="162">
        <v>204</v>
      </c>
      <c r="AG131" s="172">
        <v>206</v>
      </c>
      <c r="AH131" s="173">
        <v>206</v>
      </c>
    </row>
    <row r="132" spans="3:34">
      <c r="C132" s="102">
        <v>26.23</v>
      </c>
      <c r="D132" s="101">
        <v>26.38</v>
      </c>
      <c r="E132" s="102">
        <v>26.07</v>
      </c>
      <c r="F132" s="101">
        <v>26.04</v>
      </c>
      <c r="G132" s="102">
        <v>25.66</v>
      </c>
      <c r="H132" s="101">
        <v>25.66</v>
      </c>
      <c r="AC132" s="178">
        <v>204</v>
      </c>
      <c r="AD132" s="198">
        <v>204</v>
      </c>
      <c r="AE132" s="161">
        <v>204</v>
      </c>
      <c r="AF132" s="162">
        <v>204</v>
      </c>
      <c r="AG132" s="172">
        <v>205</v>
      </c>
      <c r="AH132" s="173">
        <v>205</v>
      </c>
    </row>
    <row r="133" spans="3:34">
      <c r="C133" s="102">
        <v>26.45</v>
      </c>
      <c r="D133" s="101">
        <v>26.24</v>
      </c>
      <c r="E133" s="102">
        <v>26.01</v>
      </c>
      <c r="F133" s="101">
        <v>26.07</v>
      </c>
      <c r="G133" s="102">
        <v>25.67</v>
      </c>
      <c r="H133" s="101">
        <v>25.68</v>
      </c>
      <c r="AC133" s="178">
        <v>204</v>
      </c>
      <c r="AD133" s="198">
        <v>204</v>
      </c>
      <c r="AE133" s="161">
        <v>204</v>
      </c>
      <c r="AF133" s="162">
        <v>204</v>
      </c>
      <c r="AG133" s="172">
        <v>205</v>
      </c>
      <c r="AH133" s="173">
        <v>205</v>
      </c>
    </row>
    <row r="134" spans="3:34">
      <c r="C134" s="102">
        <v>26.29</v>
      </c>
      <c r="D134" s="101">
        <v>26.37</v>
      </c>
      <c r="E134" s="102">
        <v>27.56</v>
      </c>
      <c r="F134" s="101">
        <v>26.47</v>
      </c>
      <c r="G134" s="102">
        <v>25.6</v>
      </c>
      <c r="H134" s="101">
        <v>25.64</v>
      </c>
      <c r="AC134" s="178">
        <v>204</v>
      </c>
      <c r="AD134" s="198">
        <v>204</v>
      </c>
      <c r="AE134" s="161">
        <v>204</v>
      </c>
      <c r="AF134" s="162">
        <v>204</v>
      </c>
      <c r="AG134" s="172">
        <v>205</v>
      </c>
      <c r="AH134" s="173">
        <v>205</v>
      </c>
    </row>
    <row r="135" spans="3:34">
      <c r="C135" s="102">
        <v>26.42</v>
      </c>
      <c r="D135" s="101">
        <v>26.24</v>
      </c>
      <c r="E135" s="102">
        <v>26.36</v>
      </c>
      <c r="F135" s="101">
        <v>26.35</v>
      </c>
      <c r="G135" s="102">
        <v>25.65</v>
      </c>
      <c r="H135" s="101">
        <v>25.74</v>
      </c>
      <c r="AC135" s="178">
        <v>204</v>
      </c>
      <c r="AD135" s="198">
        <v>204</v>
      </c>
      <c r="AE135" s="161">
        <v>204</v>
      </c>
      <c r="AF135" s="162">
        <v>204</v>
      </c>
      <c r="AG135" s="172">
        <v>205</v>
      </c>
      <c r="AH135" s="173">
        <v>205</v>
      </c>
    </row>
    <row r="136" spans="3:34">
      <c r="C136" s="102">
        <v>26.36</v>
      </c>
      <c r="D136" s="101">
        <v>26.22</v>
      </c>
      <c r="E136" s="102">
        <v>26.3</v>
      </c>
      <c r="F136" s="101">
        <v>26.26</v>
      </c>
      <c r="G136" s="102">
        <v>25.67</v>
      </c>
      <c r="H136" s="101">
        <v>25.67</v>
      </c>
      <c r="AC136" s="178">
        <v>204</v>
      </c>
      <c r="AD136" s="198">
        <v>204</v>
      </c>
      <c r="AE136" s="161">
        <v>204</v>
      </c>
      <c r="AF136" s="162">
        <v>204</v>
      </c>
      <c r="AG136" s="172">
        <v>205</v>
      </c>
      <c r="AH136" s="173">
        <v>205</v>
      </c>
    </row>
    <row r="137" spans="3:34">
      <c r="C137" s="102">
        <v>26.26</v>
      </c>
      <c r="D137" s="101">
        <v>26.34</v>
      </c>
      <c r="E137" s="102">
        <v>26.53</v>
      </c>
      <c r="F137" s="101">
        <v>26.42</v>
      </c>
      <c r="G137" s="102">
        <v>25.68</v>
      </c>
      <c r="H137" s="101">
        <v>25.67</v>
      </c>
      <c r="AC137" s="178">
        <v>204</v>
      </c>
      <c r="AD137" s="198">
        <v>204</v>
      </c>
      <c r="AE137" s="161">
        <v>204</v>
      </c>
      <c r="AF137" s="162">
        <v>204</v>
      </c>
      <c r="AG137" s="172">
        <v>205</v>
      </c>
      <c r="AH137" s="173">
        <v>205</v>
      </c>
    </row>
    <row r="138" spans="3:34">
      <c r="C138" s="102">
        <v>26.32</v>
      </c>
      <c r="D138" s="101">
        <v>26.22</v>
      </c>
      <c r="E138" s="102">
        <v>26.5</v>
      </c>
      <c r="F138" s="101">
        <v>26.36</v>
      </c>
      <c r="G138" s="102">
        <v>25.68</v>
      </c>
      <c r="H138" s="101">
        <v>25.62</v>
      </c>
      <c r="AC138" s="161">
        <v>204</v>
      </c>
      <c r="AD138" s="162">
        <v>204</v>
      </c>
      <c r="AE138" s="161">
        <v>204</v>
      </c>
      <c r="AF138" s="162">
        <v>204</v>
      </c>
      <c r="AG138" s="172">
        <v>205</v>
      </c>
      <c r="AH138" s="173">
        <v>205</v>
      </c>
    </row>
    <row r="139" spans="3:34">
      <c r="C139" s="102">
        <v>26.38</v>
      </c>
      <c r="D139" s="101">
        <v>26.22</v>
      </c>
      <c r="E139" s="102">
        <v>26.47</v>
      </c>
      <c r="F139" s="101">
        <v>26.23</v>
      </c>
      <c r="G139" s="102">
        <v>25.65</v>
      </c>
      <c r="H139" s="101">
        <v>25.62</v>
      </c>
      <c r="AC139" s="161">
        <v>204</v>
      </c>
      <c r="AD139" s="162">
        <v>204</v>
      </c>
      <c r="AE139" s="161">
        <v>204</v>
      </c>
      <c r="AF139" s="162">
        <v>204</v>
      </c>
      <c r="AG139" s="161">
        <v>204</v>
      </c>
      <c r="AH139" s="162">
        <v>204</v>
      </c>
    </row>
    <row r="140" spans="3:34">
      <c r="C140" s="102">
        <v>26.22</v>
      </c>
      <c r="D140" s="101">
        <v>26.32</v>
      </c>
      <c r="E140" s="102">
        <v>26.44</v>
      </c>
      <c r="F140" s="101">
        <v>26.5</v>
      </c>
      <c r="G140" s="102">
        <v>25.71</v>
      </c>
      <c r="H140" s="101">
        <v>25.73</v>
      </c>
      <c r="AC140" s="161">
        <v>204</v>
      </c>
      <c r="AD140" s="162">
        <v>204</v>
      </c>
      <c r="AE140" s="161">
        <v>204</v>
      </c>
      <c r="AF140" s="162">
        <v>204</v>
      </c>
      <c r="AG140" s="161">
        <v>204</v>
      </c>
      <c r="AH140" s="162">
        <v>204</v>
      </c>
    </row>
    <row r="141" spans="3:34">
      <c r="C141" s="102">
        <v>26.3</v>
      </c>
      <c r="D141" s="101">
        <v>26.37</v>
      </c>
      <c r="E141" s="102">
        <v>26.55</v>
      </c>
      <c r="F141" s="101">
        <v>26.96</v>
      </c>
      <c r="G141" s="102">
        <v>25.76</v>
      </c>
      <c r="H141" s="101">
        <v>25.79</v>
      </c>
      <c r="AC141" s="161">
        <v>204</v>
      </c>
      <c r="AD141" s="162">
        <v>204</v>
      </c>
      <c r="AE141" s="161">
        <v>204</v>
      </c>
      <c r="AF141" s="162">
        <v>204</v>
      </c>
      <c r="AG141" s="161">
        <v>204</v>
      </c>
      <c r="AH141" s="162">
        <v>204</v>
      </c>
    </row>
    <row r="142" spans="3:34">
      <c r="C142" s="102">
        <v>26.45</v>
      </c>
      <c r="D142" s="101">
        <v>26.25</v>
      </c>
      <c r="E142" s="102">
        <v>26.5</v>
      </c>
      <c r="F142" s="101">
        <v>26.27</v>
      </c>
      <c r="G142" s="102">
        <v>25.7</v>
      </c>
      <c r="H142" s="101">
        <v>25.67</v>
      </c>
      <c r="AC142" s="161">
        <v>204</v>
      </c>
      <c r="AD142" s="162">
        <v>204</v>
      </c>
      <c r="AE142" s="161">
        <v>204</v>
      </c>
      <c r="AF142" s="162">
        <v>204</v>
      </c>
      <c r="AG142" s="161">
        <v>204</v>
      </c>
      <c r="AH142" s="162">
        <v>204</v>
      </c>
    </row>
    <row r="143" spans="3:34">
      <c r="C143" s="102">
        <v>26.36</v>
      </c>
      <c r="D143" s="101">
        <v>26.27</v>
      </c>
      <c r="E143" s="102">
        <v>26.27</v>
      </c>
      <c r="F143" s="101">
        <v>26.17</v>
      </c>
      <c r="G143" s="102">
        <v>25.74</v>
      </c>
      <c r="H143" s="101">
        <v>25.74</v>
      </c>
      <c r="AC143" s="161">
        <v>204</v>
      </c>
      <c r="AD143" s="162">
        <v>204</v>
      </c>
      <c r="AE143" s="161">
        <v>204</v>
      </c>
      <c r="AF143" s="162">
        <v>204</v>
      </c>
      <c r="AG143" s="161">
        <v>204</v>
      </c>
      <c r="AH143" s="162">
        <v>204</v>
      </c>
    </row>
    <row r="144" spans="3:34">
      <c r="C144" s="102">
        <v>26.36</v>
      </c>
      <c r="D144" s="101">
        <v>26.24</v>
      </c>
      <c r="E144" s="102">
        <v>26.57</v>
      </c>
      <c r="F144" s="101">
        <v>26.17</v>
      </c>
      <c r="G144" s="102">
        <v>25.72</v>
      </c>
      <c r="H144" s="101">
        <v>25.7</v>
      </c>
      <c r="AC144" s="161">
        <v>204</v>
      </c>
      <c r="AD144" s="162">
        <v>204</v>
      </c>
      <c r="AE144" s="161">
        <v>204</v>
      </c>
      <c r="AF144" s="162">
        <v>204</v>
      </c>
      <c r="AG144" s="161">
        <v>204</v>
      </c>
      <c r="AH144" s="162">
        <v>204</v>
      </c>
    </row>
    <row r="145" spans="3:34">
      <c r="C145" s="102">
        <v>26.25</v>
      </c>
      <c r="D145" s="101">
        <v>26.37</v>
      </c>
      <c r="E145" s="102">
        <v>26.16</v>
      </c>
      <c r="F145" s="101">
        <v>26.95</v>
      </c>
      <c r="G145" s="102">
        <v>25.67</v>
      </c>
      <c r="H145" s="101">
        <v>25.75</v>
      </c>
      <c r="AC145" s="161">
        <v>204</v>
      </c>
      <c r="AD145" s="162">
        <v>204</v>
      </c>
      <c r="AE145" s="161">
        <v>204</v>
      </c>
      <c r="AF145" s="162">
        <v>204</v>
      </c>
      <c r="AG145" s="161">
        <v>204</v>
      </c>
      <c r="AH145" s="162">
        <v>204</v>
      </c>
    </row>
    <row r="146" spans="3:34">
      <c r="C146" s="102">
        <v>26.08</v>
      </c>
      <c r="D146" s="101">
        <v>26.31</v>
      </c>
      <c r="E146" s="102">
        <v>26.71</v>
      </c>
      <c r="F146" s="101">
        <v>26.57</v>
      </c>
      <c r="G146" s="102">
        <v>25.73</v>
      </c>
      <c r="H146" s="101">
        <v>25.69</v>
      </c>
      <c r="AC146" s="161">
        <v>204</v>
      </c>
      <c r="AD146" s="162">
        <v>204</v>
      </c>
      <c r="AE146" s="161">
        <v>204</v>
      </c>
      <c r="AF146" s="162">
        <v>204</v>
      </c>
      <c r="AG146" s="66"/>
      <c r="AH146" s="66"/>
    </row>
    <row r="147" spans="3:34">
      <c r="C147" s="102">
        <v>26.17</v>
      </c>
      <c r="D147" s="101">
        <v>26.08</v>
      </c>
      <c r="E147" s="102">
        <v>26.99</v>
      </c>
      <c r="F147" s="101">
        <v>26.52</v>
      </c>
      <c r="G147" s="102">
        <v>26.35</v>
      </c>
      <c r="H147" s="101">
        <v>26.25</v>
      </c>
      <c r="AC147" s="66"/>
      <c r="AD147" s="66"/>
      <c r="AE147" s="161">
        <v>204</v>
      </c>
      <c r="AF147" s="162">
        <v>204</v>
      </c>
      <c r="AG147" s="66"/>
      <c r="AH147" s="66"/>
    </row>
    <row r="148" spans="3:34">
      <c r="C148" s="102">
        <v>26.41</v>
      </c>
      <c r="D148" s="101">
        <v>26.23</v>
      </c>
      <c r="E148" s="102">
        <v>26.05</v>
      </c>
      <c r="F148" s="101">
        <v>26.4</v>
      </c>
      <c r="G148" s="102">
        <v>26.21</v>
      </c>
      <c r="H148" s="101">
        <v>26.37</v>
      </c>
      <c r="AC148" s="66"/>
      <c r="AD148" s="66"/>
      <c r="AE148" s="66"/>
      <c r="AF148" s="66"/>
      <c r="AG148" s="66"/>
      <c r="AH148" s="66"/>
    </row>
    <row r="149" spans="3:34">
      <c r="C149" s="102">
        <v>26.26</v>
      </c>
      <c r="D149" s="101">
        <v>26.4</v>
      </c>
      <c r="E149" s="102">
        <v>26.3</v>
      </c>
      <c r="F149" s="101">
        <v>26.42</v>
      </c>
      <c r="G149" s="102">
        <v>26.26</v>
      </c>
      <c r="H149" s="101">
        <v>26.04</v>
      </c>
      <c r="AC149" s="66"/>
      <c r="AD149" s="66"/>
      <c r="AE149" s="66"/>
      <c r="AF149" s="66"/>
      <c r="AG149" s="66"/>
      <c r="AH149" s="66"/>
    </row>
    <row r="150" spans="3:34">
      <c r="C150" s="102">
        <v>26.22</v>
      </c>
      <c r="D150" s="101">
        <v>26.09</v>
      </c>
      <c r="E150" s="102">
        <v>26.04</v>
      </c>
      <c r="F150" s="101">
        <v>26.29</v>
      </c>
      <c r="G150" s="102">
        <v>26.1</v>
      </c>
      <c r="H150" s="101">
        <v>26.41</v>
      </c>
    </row>
    <row r="151" spans="3:34">
      <c r="C151" s="102">
        <v>26.22</v>
      </c>
      <c r="D151" s="101">
        <v>26.36</v>
      </c>
      <c r="E151" s="102">
        <v>26.13</v>
      </c>
      <c r="F151" s="101">
        <v>26.18</v>
      </c>
      <c r="G151" s="102">
        <v>26.23</v>
      </c>
      <c r="H151" s="101">
        <v>26.41</v>
      </c>
    </row>
    <row r="152" spans="3:34">
      <c r="C152" s="102">
        <v>26.45</v>
      </c>
      <c r="D152" s="101">
        <v>26.22</v>
      </c>
      <c r="E152" s="102">
        <v>26.36</v>
      </c>
      <c r="F152" s="101">
        <v>26.27</v>
      </c>
      <c r="G152" s="102">
        <v>26.4</v>
      </c>
      <c r="H152" s="101">
        <v>26.21</v>
      </c>
    </row>
    <row r="153" spans="3:34">
      <c r="C153" s="102">
        <v>26.39</v>
      </c>
      <c r="D153" s="101">
        <v>26.17</v>
      </c>
      <c r="E153" s="102">
        <v>26.28</v>
      </c>
      <c r="F153" s="101">
        <v>26.19</v>
      </c>
      <c r="G153" s="102">
        <v>26.26</v>
      </c>
      <c r="H153" s="101">
        <v>26.46</v>
      </c>
    </row>
    <row r="154" spans="3:34">
      <c r="C154" s="102">
        <v>26.45</v>
      </c>
      <c r="D154" s="101">
        <v>26.25</v>
      </c>
      <c r="E154" s="163">
        <v>26.08</v>
      </c>
      <c r="F154" s="101">
        <v>26.08</v>
      </c>
      <c r="G154" s="102">
        <v>26.47</v>
      </c>
      <c r="H154" s="101">
        <v>26.3</v>
      </c>
    </row>
    <row r="155" spans="3:34">
      <c r="C155" s="102">
        <v>26.25</v>
      </c>
      <c r="D155" s="101">
        <v>26.15</v>
      </c>
      <c r="E155" s="102">
        <v>26.08</v>
      </c>
      <c r="F155" s="101">
        <v>26.16</v>
      </c>
      <c r="G155" s="102">
        <v>26.35</v>
      </c>
      <c r="H155" s="101">
        <v>26.3</v>
      </c>
    </row>
    <row r="156" spans="3:34">
      <c r="C156" s="102">
        <v>26.31</v>
      </c>
      <c r="D156" s="101">
        <v>26.28</v>
      </c>
      <c r="E156" s="102">
        <v>26.44</v>
      </c>
      <c r="F156" s="101">
        <v>26.2</v>
      </c>
      <c r="G156" s="102">
        <v>26.26</v>
      </c>
      <c r="H156" s="101">
        <v>26.47</v>
      </c>
    </row>
    <row r="157" spans="3:34">
      <c r="C157" s="102">
        <v>26.39</v>
      </c>
      <c r="D157" s="101">
        <v>26.27</v>
      </c>
      <c r="E157" s="102">
        <v>26.06</v>
      </c>
      <c r="F157" s="101">
        <v>26.05</v>
      </c>
      <c r="G157" s="102">
        <v>26.28</v>
      </c>
      <c r="H157" s="101">
        <v>26.34</v>
      </c>
    </row>
    <row r="158" spans="3:34">
      <c r="C158" s="102">
        <v>26.37</v>
      </c>
      <c r="D158" s="101">
        <v>26.21</v>
      </c>
      <c r="E158" s="163">
        <v>26.11</v>
      </c>
      <c r="F158" s="101">
        <v>26.08</v>
      </c>
      <c r="G158" s="102">
        <v>26.08</v>
      </c>
      <c r="H158" s="101">
        <v>26.09</v>
      </c>
    </row>
    <row r="159" spans="3:34">
      <c r="C159" s="102">
        <v>26.35</v>
      </c>
      <c r="D159" s="101">
        <v>26.27</v>
      </c>
      <c r="E159" s="163">
        <v>26.16</v>
      </c>
      <c r="F159" s="101">
        <v>26.05</v>
      </c>
      <c r="G159" s="102">
        <v>26.23</v>
      </c>
      <c r="H159" s="101">
        <v>26.13</v>
      </c>
    </row>
    <row r="160" spans="3:34">
      <c r="C160" s="102">
        <v>26.22</v>
      </c>
      <c r="D160" s="101">
        <v>26.39</v>
      </c>
      <c r="E160" s="163">
        <v>26.4</v>
      </c>
      <c r="F160" s="101">
        <v>26.2</v>
      </c>
      <c r="G160" s="102">
        <v>26.25</v>
      </c>
      <c r="H160" s="101">
        <v>26.12</v>
      </c>
    </row>
    <row r="161" spans="3:8">
      <c r="C161" s="102">
        <v>26.28</v>
      </c>
      <c r="D161" s="101">
        <v>26.26</v>
      </c>
      <c r="E161" s="163">
        <v>26.22</v>
      </c>
      <c r="F161" s="101">
        <v>26.38</v>
      </c>
      <c r="G161" s="102">
        <v>26.16</v>
      </c>
      <c r="H161" s="101">
        <v>26.08</v>
      </c>
    </row>
    <row r="162" spans="3:8">
      <c r="C162" s="102">
        <v>26.12</v>
      </c>
      <c r="D162" s="101">
        <v>26.11</v>
      </c>
      <c r="E162" s="102">
        <v>26.26</v>
      </c>
      <c r="F162" s="101">
        <v>26.39</v>
      </c>
      <c r="G162" s="102">
        <v>26.26</v>
      </c>
      <c r="H162" s="101">
        <v>26.33</v>
      </c>
    </row>
    <row r="163" spans="3:8">
      <c r="C163" s="102">
        <v>26.1</v>
      </c>
      <c r="D163" s="101">
        <v>26.18</v>
      </c>
      <c r="E163" s="102">
        <v>26.23</v>
      </c>
      <c r="F163" s="101">
        <v>26.44</v>
      </c>
      <c r="G163" s="102">
        <v>26.22</v>
      </c>
      <c r="H163" s="101">
        <v>26.44</v>
      </c>
    </row>
    <row r="164" spans="3:8">
      <c r="C164" s="102">
        <v>26.06</v>
      </c>
      <c r="D164" s="101">
        <v>26.21</v>
      </c>
      <c r="E164" s="102">
        <v>26.41</v>
      </c>
      <c r="F164" s="101">
        <v>26.26</v>
      </c>
      <c r="G164" s="102">
        <v>26.23</v>
      </c>
      <c r="H164" s="101">
        <v>26.26</v>
      </c>
    </row>
    <row r="165" spans="3:8">
      <c r="C165" s="102">
        <v>26.44</v>
      </c>
      <c r="D165" s="101">
        <v>26.22</v>
      </c>
      <c r="E165" s="102">
        <v>26.39</v>
      </c>
      <c r="F165" s="101">
        <v>26.23</v>
      </c>
      <c r="G165" s="102">
        <v>26.38</v>
      </c>
      <c r="H165" s="101">
        <v>26.25</v>
      </c>
    </row>
    <row r="166" spans="3:8">
      <c r="C166" s="102">
        <v>26.35</v>
      </c>
      <c r="D166" s="101">
        <v>26.22</v>
      </c>
      <c r="E166" s="102">
        <v>26.26</v>
      </c>
      <c r="F166" s="101">
        <v>26.37</v>
      </c>
      <c r="G166" s="102">
        <v>26.35</v>
      </c>
      <c r="H166" s="101">
        <v>26.26</v>
      </c>
    </row>
    <row r="167" spans="3:8">
      <c r="C167" s="102">
        <v>26.11</v>
      </c>
      <c r="D167" s="101">
        <v>26.42</v>
      </c>
      <c r="E167" s="102">
        <v>26.29</v>
      </c>
      <c r="F167" s="101">
        <v>26.24</v>
      </c>
      <c r="G167" s="102">
        <v>26.2</v>
      </c>
      <c r="H167" s="101">
        <v>26.35</v>
      </c>
    </row>
    <row r="168" spans="3:8">
      <c r="C168" s="102">
        <v>26.13</v>
      </c>
      <c r="D168" s="101">
        <v>26.18</v>
      </c>
      <c r="E168" s="102">
        <v>26.22</v>
      </c>
      <c r="F168" s="101">
        <v>26.4</v>
      </c>
      <c r="G168" s="102">
        <v>26.22</v>
      </c>
      <c r="H168" s="101">
        <v>26.33</v>
      </c>
    </row>
    <row r="169" spans="3:8">
      <c r="C169" s="102">
        <v>26.13</v>
      </c>
      <c r="D169" s="101">
        <v>26.26</v>
      </c>
      <c r="E169" s="102">
        <v>26.5</v>
      </c>
      <c r="F169" s="101">
        <v>26.2</v>
      </c>
      <c r="G169" s="102">
        <v>26.12</v>
      </c>
      <c r="H169" s="101">
        <v>26.14</v>
      </c>
    </row>
    <row r="170" spans="3:8">
      <c r="C170" s="102">
        <v>26.1</v>
      </c>
      <c r="D170" s="101">
        <v>26.23</v>
      </c>
      <c r="E170" s="102">
        <v>26.4</v>
      </c>
      <c r="F170" s="101">
        <v>26.23</v>
      </c>
      <c r="G170" s="102">
        <v>26.03</v>
      </c>
      <c r="H170" s="101">
        <v>26.18</v>
      </c>
    </row>
    <row r="171" spans="3:8">
      <c r="C171" s="102">
        <v>26.4</v>
      </c>
      <c r="D171" s="101">
        <v>26.26</v>
      </c>
      <c r="E171" s="102">
        <v>26.25</v>
      </c>
      <c r="F171" s="101">
        <v>26.4</v>
      </c>
      <c r="G171" s="102">
        <v>26.18</v>
      </c>
      <c r="H171" s="101">
        <v>26.44</v>
      </c>
    </row>
    <row r="172" spans="3:8">
      <c r="C172" s="102">
        <v>26.13</v>
      </c>
      <c r="D172" s="101">
        <v>26.11</v>
      </c>
      <c r="E172" s="102">
        <v>26.25</v>
      </c>
      <c r="F172" s="101">
        <v>26.27</v>
      </c>
      <c r="G172" s="102">
        <v>26.12</v>
      </c>
      <c r="H172" s="101">
        <v>26.13</v>
      </c>
    </row>
    <row r="173" spans="3:8">
      <c r="C173" s="102">
        <v>26.26</v>
      </c>
      <c r="D173" s="101">
        <v>26.3</v>
      </c>
      <c r="E173" s="102">
        <v>26.23</v>
      </c>
      <c r="F173" s="101">
        <v>26.49</v>
      </c>
      <c r="G173" s="102">
        <v>26.33</v>
      </c>
      <c r="H173" s="101">
        <v>26.26</v>
      </c>
    </row>
    <row r="174" spans="3:8">
      <c r="C174" s="102">
        <v>26.36</v>
      </c>
      <c r="D174" s="101">
        <v>26.26</v>
      </c>
      <c r="E174" s="102">
        <v>26.25</v>
      </c>
      <c r="F174" s="101">
        <v>26.5</v>
      </c>
      <c r="G174" s="102">
        <v>26.3</v>
      </c>
      <c r="H174" s="101">
        <v>26.23</v>
      </c>
    </row>
    <row r="175" spans="3:8">
      <c r="C175" s="102">
        <v>26.34</v>
      </c>
      <c r="D175" s="101">
        <v>26.27</v>
      </c>
      <c r="E175" s="102">
        <v>26.28</v>
      </c>
      <c r="F175" s="101">
        <v>26.39</v>
      </c>
      <c r="G175" s="102">
        <v>26.3</v>
      </c>
      <c r="H175" s="101">
        <v>26.16</v>
      </c>
    </row>
    <row r="176" spans="3:8">
      <c r="C176" s="102">
        <v>26.24</v>
      </c>
      <c r="D176" s="101">
        <v>26.36</v>
      </c>
      <c r="E176" s="102">
        <v>26.2</v>
      </c>
      <c r="F176" s="101">
        <v>26.48</v>
      </c>
      <c r="G176" s="102">
        <v>26.42</v>
      </c>
      <c r="H176" s="101">
        <v>26.22</v>
      </c>
    </row>
    <row r="177" spans="3:8">
      <c r="C177" s="102">
        <v>26.24</v>
      </c>
      <c r="D177" s="101">
        <v>26.44</v>
      </c>
      <c r="E177" s="102">
        <v>26.31</v>
      </c>
      <c r="F177" s="101">
        <v>26.08</v>
      </c>
      <c r="G177" s="102">
        <v>26.16</v>
      </c>
      <c r="H177" s="101">
        <v>26.21</v>
      </c>
    </row>
    <row r="178" spans="3:8">
      <c r="C178" s="102">
        <v>26.07</v>
      </c>
      <c r="D178" s="101">
        <v>26.17</v>
      </c>
      <c r="E178" s="102">
        <v>26.13</v>
      </c>
      <c r="F178" s="101">
        <v>26.39</v>
      </c>
      <c r="G178" s="102">
        <v>26.3</v>
      </c>
      <c r="H178" s="101">
        <v>26.39</v>
      </c>
    </row>
    <row r="179" spans="3:8">
      <c r="C179" s="102">
        <v>26.41</v>
      </c>
      <c r="D179" s="101">
        <v>26.21</v>
      </c>
      <c r="E179" s="102">
        <v>26.37</v>
      </c>
      <c r="F179" s="101">
        <v>26.22</v>
      </c>
      <c r="G179" s="102">
        <v>26.3</v>
      </c>
      <c r="H179" s="101">
        <v>26.43</v>
      </c>
    </row>
    <row r="180" spans="3:8">
      <c r="C180" s="102">
        <v>26.16</v>
      </c>
      <c r="D180" s="101">
        <v>26.08</v>
      </c>
      <c r="E180" s="102">
        <v>26.11</v>
      </c>
      <c r="F180" s="101">
        <v>26.43</v>
      </c>
      <c r="G180" s="102">
        <v>26.24</v>
      </c>
      <c r="H180" s="101">
        <v>26.3</v>
      </c>
    </row>
    <row r="181" spans="3:8">
      <c r="C181" s="102">
        <v>26.08</v>
      </c>
      <c r="D181" s="101">
        <v>26.21</v>
      </c>
      <c r="E181" s="102">
        <v>26.27</v>
      </c>
      <c r="F181" s="101">
        <v>26.4</v>
      </c>
    </row>
  </sheetData>
  <sortState ref="BH7:BH12">
    <sortCondition ref="BH7"/>
  </sortState>
  <pageMargins left="0.7" right="0.7" top="0.75" bottom="0.75" header="0.3" footer="0.3"/>
  <pageSetup orientation="landscape" horizontalDpi="200" verticalDpi="2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B45"/>
  <sheetViews>
    <sheetView topLeftCell="A9" zoomScaleNormal="100" workbookViewId="0">
      <selection activeCell="X31" sqref="X31"/>
    </sheetView>
  </sheetViews>
  <sheetFormatPr defaultRowHeight="15"/>
  <cols>
    <col min="1" max="1" width="17.42578125" style="57" customWidth="1"/>
    <col min="2" max="2" width="6.42578125" style="57" customWidth="1"/>
    <col min="3" max="3" width="5.140625" style="57" customWidth="1"/>
    <col min="4" max="4" width="5.7109375" style="57" customWidth="1"/>
    <col min="5" max="5" width="4.85546875" style="57" customWidth="1"/>
    <col min="6" max="6" width="4" style="57" customWidth="1"/>
    <col min="7" max="14" width="3" style="57" customWidth="1"/>
    <col min="15" max="15" width="3.140625" style="57" customWidth="1"/>
    <col min="16" max="18" width="3" style="57" customWidth="1"/>
    <col min="19" max="19" width="2.140625" style="57" customWidth="1"/>
    <col min="20" max="20" width="3" style="57" customWidth="1"/>
    <col min="21" max="16384" width="9.140625" style="57"/>
  </cols>
  <sheetData>
    <row r="1" spans="1:8">
      <c r="A1" s="57" t="s">
        <v>0</v>
      </c>
    </row>
    <row r="2" spans="1:8">
      <c r="A2" s="57" t="s">
        <v>1</v>
      </c>
    </row>
    <row r="3" spans="1:8">
      <c r="A3" s="57" t="s">
        <v>183</v>
      </c>
    </row>
    <row r="5" spans="1:8">
      <c r="A5" s="57" t="s">
        <v>181</v>
      </c>
    </row>
    <row r="6" spans="1:8">
      <c r="A6" s="57" t="s">
        <v>158</v>
      </c>
    </row>
    <row r="7" spans="1:8">
      <c r="A7" s="57" t="s">
        <v>163</v>
      </c>
    </row>
    <row r="8" spans="1:8">
      <c r="B8" s="57" t="s">
        <v>182</v>
      </c>
    </row>
    <row r="9" spans="1:8">
      <c r="A9" s="57" t="s">
        <v>184</v>
      </c>
    </row>
    <row r="12" spans="1:8">
      <c r="A12" s="3" t="s">
        <v>185</v>
      </c>
    </row>
    <row r="13" spans="1:8">
      <c r="A13" s="111"/>
      <c r="B13" s="111" t="s">
        <v>130</v>
      </c>
      <c r="C13" s="111" t="s">
        <v>179</v>
      </c>
      <c r="D13" s="111" t="s">
        <v>180</v>
      </c>
      <c r="E13" s="216" t="s">
        <v>212</v>
      </c>
      <c r="F13" s="216" t="s">
        <v>69</v>
      </c>
      <c r="G13" s="111"/>
    </row>
    <row r="14" spans="1:8">
      <c r="A14" s="57" t="s">
        <v>189</v>
      </c>
      <c r="B14" s="143">
        <v>25.4</v>
      </c>
      <c r="C14" s="143">
        <f>8*25.4</f>
        <v>203.2</v>
      </c>
      <c r="D14" s="143">
        <f>4*25.4</f>
        <v>101.6</v>
      </c>
      <c r="E14" s="217" t="s">
        <v>191</v>
      </c>
      <c r="F14" s="126" t="s">
        <v>213</v>
      </c>
    </row>
    <row r="15" spans="1:8">
      <c r="A15" s="57" t="s">
        <v>190</v>
      </c>
      <c r="B15" s="143"/>
      <c r="C15" s="143"/>
      <c r="D15" s="143"/>
      <c r="E15" s="217"/>
      <c r="F15" s="126"/>
    </row>
    <row r="16" spans="1:8">
      <c r="A16" s="57" t="s">
        <v>159</v>
      </c>
      <c r="B16" s="218">
        <v>27</v>
      </c>
      <c r="C16" s="218">
        <v>206</v>
      </c>
      <c r="D16" s="218">
        <v>103</v>
      </c>
      <c r="E16" s="219">
        <v>0.1</v>
      </c>
      <c r="F16" s="57" t="s">
        <v>88</v>
      </c>
      <c r="H16" s="57" t="s">
        <v>195</v>
      </c>
    </row>
    <row r="17" spans="1:28">
      <c r="A17" s="57" t="s">
        <v>161</v>
      </c>
      <c r="B17" s="143">
        <f>SUM(A!Y66,As!Y41,B!Y166,Bs!Y49,'C'!X42,D!X54,E!Y49,Es!Z29,F!Y37,Fs!Y31,G!Y33,Gs!Y26,H!Y28,I!Y28,J!Y23,K!Z17,Ks!Y14)</f>
        <v>7</v>
      </c>
      <c r="C17" s="143">
        <f>SUM(A!Z66,B!Z166,'C'!Y42,D!Y54,E!Z49,F!Z37,G!Z33,H!Z28,I!Z28,J!Z23,K!AA17)</f>
        <v>0</v>
      </c>
      <c r="D17" s="143">
        <f>SUM(As!Z41,Bs!Z49,Es!AA29,Fs!Z31,Gs!Z26,Ks!Z14)</f>
        <v>0</v>
      </c>
      <c r="E17" s="143"/>
    </row>
    <row r="18" spans="1:28">
      <c r="A18" s="57" t="s">
        <v>160</v>
      </c>
      <c r="B18" s="143"/>
      <c r="C18" s="143"/>
      <c r="D18" s="143"/>
      <c r="E18" s="143"/>
    </row>
    <row r="19" spans="1:28">
      <c r="X19" s="66"/>
      <c r="Y19" s="66"/>
      <c r="Z19" s="66"/>
      <c r="AA19" s="66"/>
      <c r="AB19" s="66"/>
    </row>
    <row r="20" spans="1:28">
      <c r="X20" s="66"/>
      <c r="Y20" s="66"/>
      <c r="Z20" s="66"/>
      <c r="AA20" s="66"/>
      <c r="AB20" s="66"/>
    </row>
    <row r="21" spans="1:28">
      <c r="A21" s="3" t="s">
        <v>199</v>
      </c>
      <c r="X21" s="66"/>
      <c r="Y21" s="220"/>
      <c r="Z21" s="220"/>
      <c r="AA21" s="220"/>
      <c r="AB21" s="66"/>
    </row>
    <row r="22" spans="1:28">
      <c r="X22" s="66"/>
      <c r="Y22" s="221"/>
      <c r="Z22" s="66"/>
      <c r="AA22" s="222"/>
      <c r="AB22" s="66"/>
    </row>
    <row r="23" spans="1:28">
      <c r="A23" s="111"/>
      <c r="B23" s="111"/>
      <c r="C23" s="111"/>
      <c r="D23" s="152" t="s">
        <v>6</v>
      </c>
      <c r="E23" s="152" t="s">
        <v>164</v>
      </c>
      <c r="F23" s="152" t="s">
        <v>9</v>
      </c>
      <c r="G23" s="152" t="s">
        <v>165</v>
      </c>
      <c r="H23" s="152" t="s">
        <v>11</v>
      </c>
      <c r="I23" s="152" t="s">
        <v>13</v>
      </c>
      <c r="J23" s="152" t="s">
        <v>15</v>
      </c>
      <c r="K23" s="152" t="s">
        <v>166</v>
      </c>
      <c r="L23" s="152" t="s">
        <v>17</v>
      </c>
      <c r="M23" s="152" t="s">
        <v>167</v>
      </c>
      <c r="N23" s="152" t="s">
        <v>19</v>
      </c>
      <c r="O23" s="152" t="s">
        <v>168</v>
      </c>
      <c r="P23" s="152" t="s">
        <v>21</v>
      </c>
      <c r="Q23" s="152" t="s">
        <v>22</v>
      </c>
      <c r="R23" s="152" t="s">
        <v>24</v>
      </c>
      <c r="S23" s="152" t="s">
        <v>26</v>
      </c>
      <c r="T23" s="152" t="s">
        <v>169</v>
      </c>
      <c r="U23" s="223" t="s">
        <v>178</v>
      </c>
      <c r="X23" s="66"/>
      <c r="Y23" s="221"/>
      <c r="Z23" s="66"/>
      <c r="AA23" s="222"/>
      <c r="AB23" s="66"/>
    </row>
    <row r="24" spans="1:28">
      <c r="A24" s="57" t="s">
        <v>170</v>
      </c>
      <c r="D24" s="143">
        <f>Shipments!G12</f>
        <v>54</v>
      </c>
      <c r="E24" s="143">
        <f>Shipments!H12</f>
        <v>28</v>
      </c>
      <c r="F24" s="143">
        <f>Shipments!I12</f>
        <v>154</v>
      </c>
      <c r="G24" s="143">
        <f>Shipments!J12</f>
        <v>37</v>
      </c>
      <c r="H24" s="143">
        <f>Shipments!K12</f>
        <v>30</v>
      </c>
      <c r="I24" s="143">
        <f>Shipments!L12</f>
        <v>42</v>
      </c>
      <c r="J24" s="143">
        <f>Shipments!M12</f>
        <v>37</v>
      </c>
      <c r="K24" s="143">
        <f>Shipments!N12</f>
        <v>17</v>
      </c>
      <c r="L24" s="143">
        <f>Shipments!O12</f>
        <v>25</v>
      </c>
      <c r="M24" s="143">
        <f>Shipments!P12</f>
        <v>19</v>
      </c>
      <c r="N24" s="143">
        <f>Shipments!Q12</f>
        <v>21</v>
      </c>
      <c r="O24" s="143">
        <f>Shipments!R12</f>
        <v>14</v>
      </c>
      <c r="P24" s="143">
        <f>Shipments!S12</f>
        <v>16</v>
      </c>
      <c r="Q24" s="143">
        <f>Shipments!T12</f>
        <v>16</v>
      </c>
      <c r="R24" s="143">
        <f>Shipments!U12</f>
        <v>11</v>
      </c>
      <c r="S24" s="143">
        <f>Shipments!V12</f>
        <v>5</v>
      </c>
      <c r="T24" s="143">
        <f>Shipments!W12</f>
        <v>2</v>
      </c>
      <c r="U24" s="57" t="s">
        <v>174</v>
      </c>
      <c r="X24" s="66"/>
      <c r="Y24" s="221"/>
      <c r="Z24" s="66"/>
      <c r="AA24" s="222"/>
      <c r="AB24" s="66"/>
    </row>
    <row r="25" spans="1:28">
      <c r="A25" s="57" t="s">
        <v>171</v>
      </c>
      <c r="D25" s="143">
        <v>52</v>
      </c>
      <c r="E25" s="143">
        <v>26</v>
      </c>
      <c r="F25" s="143">
        <v>144</v>
      </c>
      <c r="G25" s="143">
        <v>35</v>
      </c>
      <c r="H25" s="143">
        <v>28</v>
      </c>
      <c r="I25" s="143">
        <v>40</v>
      </c>
      <c r="J25" s="143">
        <v>35</v>
      </c>
      <c r="K25" s="143">
        <v>14</v>
      </c>
      <c r="L25" s="143">
        <v>24</v>
      </c>
      <c r="M25" s="143">
        <v>18</v>
      </c>
      <c r="N25" s="143">
        <v>20</v>
      </c>
      <c r="O25" s="143">
        <v>10</v>
      </c>
      <c r="P25" s="143">
        <v>15</v>
      </c>
      <c r="Q25" s="143">
        <v>15</v>
      </c>
      <c r="R25" s="143">
        <v>10</v>
      </c>
      <c r="S25" s="143">
        <v>4</v>
      </c>
      <c r="T25" s="143">
        <v>1</v>
      </c>
      <c r="U25" s="57" t="s">
        <v>173</v>
      </c>
      <c r="X25" s="66"/>
      <c r="Y25" s="221"/>
      <c r="Z25" s="66"/>
      <c r="AA25" s="222"/>
      <c r="AB25" s="66"/>
    </row>
    <row r="26" spans="1:28">
      <c r="A26" s="57" t="s">
        <v>176</v>
      </c>
      <c r="D26" s="143">
        <f>D24-D25</f>
        <v>2</v>
      </c>
      <c r="E26" s="143">
        <f t="shared" ref="E26:T26" si="0">E24-E25</f>
        <v>2</v>
      </c>
      <c r="F26" s="143">
        <f t="shared" si="0"/>
        <v>10</v>
      </c>
      <c r="G26" s="143">
        <f t="shared" si="0"/>
        <v>2</v>
      </c>
      <c r="H26" s="143">
        <f t="shared" si="0"/>
        <v>2</v>
      </c>
      <c r="I26" s="143">
        <f t="shared" si="0"/>
        <v>2</v>
      </c>
      <c r="J26" s="143">
        <f t="shared" si="0"/>
        <v>2</v>
      </c>
      <c r="K26" s="143">
        <f t="shared" si="0"/>
        <v>3</v>
      </c>
      <c r="L26" s="143">
        <f t="shared" si="0"/>
        <v>1</v>
      </c>
      <c r="M26" s="143">
        <f t="shared" si="0"/>
        <v>1</v>
      </c>
      <c r="N26" s="143">
        <f t="shared" si="0"/>
        <v>1</v>
      </c>
      <c r="O26" s="143">
        <f t="shared" si="0"/>
        <v>4</v>
      </c>
      <c r="P26" s="143">
        <f t="shared" si="0"/>
        <v>1</v>
      </c>
      <c r="Q26" s="143">
        <f t="shared" si="0"/>
        <v>1</v>
      </c>
      <c r="R26" s="143">
        <f t="shared" si="0"/>
        <v>1</v>
      </c>
      <c r="S26" s="143">
        <f t="shared" si="0"/>
        <v>1</v>
      </c>
      <c r="T26" s="143">
        <f t="shared" si="0"/>
        <v>1</v>
      </c>
      <c r="X26" s="66"/>
      <c r="Y26" s="221"/>
      <c r="Z26" s="66"/>
      <c r="AA26" s="224"/>
      <c r="AB26" s="66"/>
    </row>
    <row r="27" spans="1:28">
      <c r="A27" s="57" t="s">
        <v>175</v>
      </c>
      <c r="D27" s="143">
        <f>A!Y66</f>
        <v>0</v>
      </c>
      <c r="E27" s="143">
        <f>As!Y41</f>
        <v>0</v>
      </c>
      <c r="F27" s="143">
        <f>B!Y166</f>
        <v>1</v>
      </c>
      <c r="G27" s="143">
        <f>Bs!Y49</f>
        <v>0</v>
      </c>
      <c r="H27" s="143">
        <f>'C'!X42</f>
        <v>1</v>
      </c>
      <c r="I27" s="143">
        <v>2</v>
      </c>
      <c r="J27" s="143">
        <f>E!Y49</f>
        <v>0</v>
      </c>
      <c r="K27" s="143">
        <f>Es!Z29</f>
        <v>1</v>
      </c>
      <c r="L27" s="143">
        <f>F!Y37</f>
        <v>0</v>
      </c>
      <c r="M27" s="143">
        <f>Fs!Y31</f>
        <v>0</v>
      </c>
      <c r="N27" s="143">
        <f>G!Y33</f>
        <v>0</v>
      </c>
      <c r="O27" s="143">
        <f>Gs!Y26</f>
        <v>0</v>
      </c>
      <c r="P27" s="143">
        <f>H!Y28</f>
        <v>0</v>
      </c>
      <c r="Q27" s="143">
        <f>I!Y28</f>
        <v>1</v>
      </c>
      <c r="R27" s="143">
        <f>J!Y23</f>
        <v>0</v>
      </c>
      <c r="S27" s="143">
        <f>K!Z17</f>
        <v>0</v>
      </c>
      <c r="T27" s="143">
        <f>Ks!Y14</f>
        <v>0</v>
      </c>
      <c r="X27" s="66"/>
      <c r="Y27" s="221"/>
      <c r="Z27" s="66"/>
      <c r="AA27" s="222"/>
      <c r="AB27" s="66"/>
    </row>
    <row r="28" spans="1:28">
      <c r="A28" s="57" t="s">
        <v>177</v>
      </c>
      <c r="D28" s="143">
        <f>D26-D27</f>
        <v>2</v>
      </c>
      <c r="E28" s="143">
        <f t="shared" ref="E28:T28" si="1">E26-E27</f>
        <v>2</v>
      </c>
      <c r="F28" s="143">
        <f t="shared" si="1"/>
        <v>9</v>
      </c>
      <c r="G28" s="143">
        <f t="shared" si="1"/>
        <v>2</v>
      </c>
      <c r="H28" s="143">
        <f t="shared" si="1"/>
        <v>1</v>
      </c>
      <c r="I28" s="143">
        <f t="shared" si="1"/>
        <v>0</v>
      </c>
      <c r="J28" s="143">
        <f t="shared" si="1"/>
        <v>2</v>
      </c>
      <c r="K28" s="143">
        <f t="shared" si="1"/>
        <v>2</v>
      </c>
      <c r="L28" s="143">
        <f t="shared" si="1"/>
        <v>1</v>
      </c>
      <c r="M28" s="143">
        <f t="shared" si="1"/>
        <v>1</v>
      </c>
      <c r="N28" s="143">
        <f t="shared" si="1"/>
        <v>1</v>
      </c>
      <c r="O28" s="143">
        <f t="shared" si="1"/>
        <v>4</v>
      </c>
      <c r="P28" s="143">
        <f t="shared" si="1"/>
        <v>1</v>
      </c>
      <c r="Q28" s="225">
        <f t="shared" si="1"/>
        <v>0</v>
      </c>
      <c r="R28" s="143">
        <f t="shared" si="1"/>
        <v>1</v>
      </c>
      <c r="S28" s="143">
        <f t="shared" si="1"/>
        <v>1</v>
      </c>
      <c r="T28" s="143">
        <f t="shared" si="1"/>
        <v>1</v>
      </c>
      <c r="X28" s="66"/>
      <c r="Y28" s="221"/>
      <c r="Z28" s="66"/>
      <c r="AA28" s="224"/>
      <c r="AB28" s="66"/>
    </row>
    <row r="29" spans="1:28">
      <c r="A29" s="57" t="s">
        <v>198</v>
      </c>
      <c r="D29" s="143">
        <f>A!Z66</f>
        <v>0</v>
      </c>
      <c r="E29" s="143">
        <f>As!Z41</f>
        <v>0</v>
      </c>
      <c r="F29" s="143">
        <f>B!Z166</f>
        <v>0</v>
      </c>
      <c r="G29" s="143">
        <f>Bs!Z49</f>
        <v>0</v>
      </c>
      <c r="H29" s="143">
        <f>'C'!Y42</f>
        <v>0</v>
      </c>
      <c r="I29" s="143">
        <f>D!Y54</f>
        <v>0</v>
      </c>
      <c r="J29" s="143">
        <f>E!Z49</f>
        <v>0</v>
      </c>
      <c r="K29" s="143">
        <f>Es!AA29</f>
        <v>0</v>
      </c>
      <c r="L29" s="143">
        <f>F!Z37</f>
        <v>0</v>
      </c>
      <c r="M29" s="143">
        <f>Fs!Z31</f>
        <v>0</v>
      </c>
      <c r="N29" s="143">
        <f>G!Z33</f>
        <v>0</v>
      </c>
      <c r="O29" s="143">
        <f>Gs!Z26</f>
        <v>0</v>
      </c>
      <c r="P29" s="143">
        <f>H!Z28</f>
        <v>0</v>
      </c>
      <c r="Q29" s="143">
        <f>I!Z28</f>
        <v>0</v>
      </c>
      <c r="R29" s="143">
        <f>J!Z23</f>
        <v>0</v>
      </c>
      <c r="S29" s="143">
        <f>K!AA17</f>
        <v>0</v>
      </c>
      <c r="T29" s="143">
        <f>Ks!Z14</f>
        <v>0</v>
      </c>
    </row>
    <row r="30" spans="1:28">
      <c r="A30" s="57" t="s">
        <v>197</v>
      </c>
      <c r="D30" s="143">
        <f>D28-D29</f>
        <v>2</v>
      </c>
      <c r="E30" s="143">
        <f t="shared" ref="E30:T30" si="2">E28-E29</f>
        <v>2</v>
      </c>
      <c r="F30" s="143">
        <f t="shared" si="2"/>
        <v>9</v>
      </c>
      <c r="G30" s="143">
        <f t="shared" si="2"/>
        <v>2</v>
      </c>
      <c r="H30" s="143">
        <f t="shared" si="2"/>
        <v>1</v>
      </c>
      <c r="I30" s="143">
        <f t="shared" si="2"/>
        <v>0</v>
      </c>
      <c r="J30" s="143">
        <f t="shared" si="2"/>
        <v>2</v>
      </c>
      <c r="K30" s="143">
        <f t="shared" si="2"/>
        <v>2</v>
      </c>
      <c r="L30" s="143">
        <f t="shared" si="2"/>
        <v>1</v>
      </c>
      <c r="M30" s="143">
        <f t="shared" si="2"/>
        <v>1</v>
      </c>
      <c r="N30" s="143">
        <f t="shared" si="2"/>
        <v>1</v>
      </c>
      <c r="O30" s="143">
        <f t="shared" si="2"/>
        <v>4</v>
      </c>
      <c r="P30" s="143">
        <f t="shared" si="2"/>
        <v>1</v>
      </c>
      <c r="Q30" s="143">
        <f t="shared" si="2"/>
        <v>0</v>
      </c>
      <c r="R30" s="143">
        <f t="shared" si="2"/>
        <v>1</v>
      </c>
      <c r="S30" s="143">
        <f t="shared" si="2"/>
        <v>1</v>
      </c>
      <c r="T30" s="143">
        <f t="shared" si="2"/>
        <v>1</v>
      </c>
      <c r="X30" s="66"/>
      <c r="Y30" s="221"/>
      <c r="Z30" s="66"/>
      <c r="AA30" s="222"/>
      <c r="AB30" s="66"/>
    </row>
    <row r="31" spans="1:28">
      <c r="A31" s="57" t="s">
        <v>161</v>
      </c>
      <c r="D31" s="143">
        <v>2</v>
      </c>
      <c r="E31" s="143">
        <v>2</v>
      </c>
      <c r="F31" s="143">
        <v>9</v>
      </c>
      <c r="G31" s="143">
        <v>2</v>
      </c>
      <c r="H31" s="143">
        <v>1</v>
      </c>
      <c r="I31" s="143">
        <v>0</v>
      </c>
      <c r="J31" s="143">
        <v>2</v>
      </c>
      <c r="K31" s="143">
        <v>2</v>
      </c>
      <c r="L31" s="143">
        <v>1</v>
      </c>
      <c r="M31" s="143">
        <v>1</v>
      </c>
      <c r="N31" s="143">
        <v>1</v>
      </c>
      <c r="O31" s="143">
        <v>4</v>
      </c>
      <c r="P31" s="143">
        <v>1</v>
      </c>
      <c r="Q31" s="143">
        <v>0</v>
      </c>
      <c r="R31" s="143">
        <v>1</v>
      </c>
      <c r="S31" s="143">
        <v>1</v>
      </c>
      <c r="T31" s="143">
        <v>1</v>
      </c>
      <c r="X31" s="66"/>
      <c r="Y31" s="221"/>
      <c r="Z31" s="66"/>
      <c r="AA31" s="222"/>
      <c r="AB31" s="66"/>
    </row>
    <row r="32" spans="1:28">
      <c r="D32" s="143">
        <v>0</v>
      </c>
      <c r="E32" s="143">
        <v>0</v>
      </c>
      <c r="F32" s="143">
        <v>0</v>
      </c>
      <c r="G32" s="143">
        <v>0</v>
      </c>
      <c r="H32" s="143">
        <v>0</v>
      </c>
      <c r="I32" s="143">
        <v>0</v>
      </c>
      <c r="J32" s="143">
        <v>0</v>
      </c>
      <c r="K32" s="143">
        <v>0</v>
      </c>
      <c r="L32" s="143">
        <v>0</v>
      </c>
      <c r="M32" s="143">
        <v>0</v>
      </c>
      <c r="N32" s="143">
        <v>0</v>
      </c>
      <c r="O32" s="143">
        <v>0</v>
      </c>
      <c r="P32" s="143">
        <v>0</v>
      </c>
      <c r="Q32" s="143">
        <v>0</v>
      </c>
      <c r="R32" s="143">
        <v>0</v>
      </c>
      <c r="S32" s="143">
        <v>0</v>
      </c>
      <c r="T32" s="143">
        <v>0</v>
      </c>
      <c r="X32" s="66"/>
      <c r="Y32" s="221"/>
      <c r="Z32" s="66"/>
      <c r="AA32" s="222"/>
      <c r="AB32" s="66"/>
    </row>
    <row r="33" spans="24:28">
      <c r="X33" s="66"/>
      <c r="Y33" s="221"/>
      <c r="Z33" s="66"/>
      <c r="AA33" s="222"/>
      <c r="AB33" s="66"/>
    </row>
    <row r="34" spans="24:28">
      <c r="X34" s="66"/>
      <c r="Y34" s="221"/>
      <c r="Z34" s="66"/>
      <c r="AA34" s="222"/>
      <c r="AB34" s="66"/>
    </row>
    <row r="35" spans="24:28">
      <c r="X35" s="66"/>
      <c r="Y35" s="221"/>
      <c r="Z35" s="66"/>
      <c r="AA35" s="222"/>
      <c r="AB35" s="66"/>
    </row>
    <row r="36" spans="24:28">
      <c r="X36" s="66"/>
      <c r="Y36" s="226"/>
      <c r="Z36" s="78"/>
      <c r="AA36" s="224"/>
      <c r="AB36" s="66"/>
    </row>
    <row r="37" spans="24:28">
      <c r="X37" s="66"/>
      <c r="Y37" s="221"/>
      <c r="Z37" s="66"/>
      <c r="AA37" s="222"/>
      <c r="AB37" s="66"/>
    </row>
    <row r="38" spans="24:28">
      <c r="X38" s="66"/>
      <c r="Y38" s="221"/>
      <c r="Z38" s="66"/>
      <c r="AA38" s="224"/>
      <c r="AB38" s="66"/>
    </row>
    <row r="39" spans="24:28">
      <c r="X39" s="66"/>
      <c r="Y39" s="221"/>
      <c r="Z39" s="66"/>
      <c r="AA39" s="222"/>
      <c r="AB39" s="66"/>
    </row>
    <row r="40" spans="24:28">
      <c r="X40" s="66"/>
      <c r="Y40" s="221"/>
      <c r="Z40" s="66"/>
      <c r="AA40" s="227"/>
      <c r="AB40" s="66"/>
    </row>
    <row r="41" spans="24:28">
      <c r="X41" s="66"/>
      <c r="Y41" s="221"/>
      <c r="Z41" s="66"/>
      <c r="AA41" s="222"/>
      <c r="AB41" s="66"/>
    </row>
    <row r="42" spans="24:28">
      <c r="X42" s="66"/>
      <c r="Y42" s="221"/>
      <c r="Z42" s="66"/>
      <c r="AA42" s="222"/>
      <c r="AB42" s="66"/>
    </row>
    <row r="43" spans="24:28">
      <c r="X43" s="66"/>
      <c r="Y43" s="66"/>
      <c r="Z43" s="66"/>
      <c r="AA43" s="66"/>
      <c r="AB43" s="66"/>
    </row>
    <row r="44" spans="24:28">
      <c r="X44" s="66"/>
      <c r="Y44" s="66"/>
      <c r="Z44" s="66"/>
      <c r="AA44" s="66"/>
      <c r="AB44" s="66"/>
    </row>
    <row r="45" spans="24:28">
      <c r="X45" s="66"/>
      <c r="Y45" s="66"/>
      <c r="Z45" s="66"/>
      <c r="AA45" s="66"/>
      <c r="AB45" s="66"/>
    </row>
  </sheetData>
  <pageMargins left="0.2" right="0.2" top="0.5" bottom="0.5" header="0.3" footer="0.3"/>
  <pageSetup orientation="landscape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T831"/>
  <sheetViews>
    <sheetView zoomScale="70" zoomScaleNormal="70" workbookViewId="0">
      <selection activeCell="B21" sqref="B21"/>
    </sheetView>
  </sheetViews>
  <sheetFormatPr defaultRowHeight="15"/>
  <cols>
    <col min="1" max="1" width="11.7109375" customWidth="1"/>
    <col min="2" max="2" width="15.42578125" customWidth="1"/>
    <col min="3" max="3" width="17.5703125" customWidth="1"/>
    <col min="4" max="4" width="20.7109375" customWidth="1"/>
    <col min="5" max="5" width="17.5703125" customWidth="1"/>
    <col min="6" max="6" width="20.5703125" customWidth="1"/>
    <col min="7" max="7" width="20.28515625" customWidth="1"/>
    <col min="8" max="8" width="16.7109375" customWidth="1"/>
    <col min="9" max="9" width="20.42578125" customWidth="1"/>
    <col min="10" max="10" width="17.5703125" customWidth="1"/>
    <col min="11" max="11" width="19.7109375" customWidth="1"/>
    <col min="12" max="12" width="21.140625" customWidth="1"/>
    <col min="13" max="13" width="16.85546875" customWidth="1"/>
    <col min="14" max="14" width="19.140625" customWidth="1"/>
    <col min="15" max="15" width="16.7109375" customWidth="1"/>
    <col min="16" max="16" width="15.28515625" customWidth="1"/>
    <col min="17" max="17" width="15.85546875" customWidth="1"/>
    <col min="18" max="18" width="20.28515625" customWidth="1"/>
    <col min="19" max="19" width="15.28515625" customWidth="1"/>
    <col min="20" max="20" width="15.85546875" customWidth="1"/>
    <col min="21" max="21" width="15.28515625" customWidth="1"/>
    <col min="22" max="22" width="16.85546875" bestFit="1" customWidth="1"/>
    <col min="23" max="30" width="15.28515625" customWidth="1"/>
    <col min="31" max="31" width="19.5703125" customWidth="1"/>
    <col min="32" max="36" width="15.28515625" customWidth="1"/>
    <col min="37" max="37" width="18.7109375" bestFit="1" customWidth="1"/>
    <col min="38" max="38" width="18.7109375" customWidth="1"/>
    <col min="39" max="39" width="18.28515625" customWidth="1"/>
    <col min="40" max="40" width="14.140625" customWidth="1"/>
    <col min="41" max="41" width="15.7109375" customWidth="1"/>
    <col min="42" max="42" width="14.42578125" customWidth="1"/>
    <col min="43" max="43" width="14.140625" customWidth="1"/>
    <col min="44" max="44" width="15.140625" customWidth="1"/>
  </cols>
  <sheetData>
    <row r="1" spans="1:7">
      <c r="A1" t="s">
        <v>224</v>
      </c>
    </row>
    <row r="2" spans="1:7">
      <c r="A2" t="s">
        <v>225</v>
      </c>
    </row>
    <row r="3" spans="1:7">
      <c r="A3" t="s">
        <v>397</v>
      </c>
    </row>
    <row r="5" spans="1:7" s="388" customFormat="1" ht="26.25">
      <c r="A5" s="388" t="s">
        <v>404</v>
      </c>
    </row>
    <row r="8" spans="1:7" ht="26.25">
      <c r="A8" s="388" t="s">
        <v>242</v>
      </c>
    </row>
    <row r="10" spans="1:7">
      <c r="A10" t="s">
        <v>249</v>
      </c>
    </row>
    <row r="12" spans="1:7">
      <c r="B12" t="s">
        <v>250</v>
      </c>
    </row>
    <row r="13" spans="1:7" ht="15.75" thickBot="1">
      <c r="B13" t="s">
        <v>251</v>
      </c>
      <c r="E13" s="336">
        <v>0.18</v>
      </c>
      <c r="F13" t="s">
        <v>113</v>
      </c>
      <c r="G13" t="s">
        <v>252</v>
      </c>
    </row>
    <row r="14" spans="1:7" ht="15.75" thickBot="1">
      <c r="B14" t="s">
        <v>253</v>
      </c>
      <c r="E14" s="337">
        <v>0.09</v>
      </c>
      <c r="F14" t="s">
        <v>113</v>
      </c>
    </row>
    <row r="16" spans="1:7" ht="15.75" thickBot="1"/>
    <row r="17" spans="1:36">
      <c r="A17" s="317"/>
      <c r="B17" s="314" t="s">
        <v>229</v>
      </c>
      <c r="C17" s="314" t="s">
        <v>228</v>
      </c>
      <c r="D17" s="314" t="s">
        <v>230</v>
      </c>
      <c r="E17" s="314" t="s">
        <v>231</v>
      </c>
      <c r="F17" s="314" t="s">
        <v>232</v>
      </c>
      <c r="G17" s="314" t="s">
        <v>233</v>
      </c>
      <c r="H17" s="314" t="s">
        <v>234</v>
      </c>
      <c r="I17" s="314" t="s">
        <v>234</v>
      </c>
      <c r="J17" s="314" t="s">
        <v>227</v>
      </c>
      <c r="K17" s="314" t="s">
        <v>227</v>
      </c>
      <c r="L17" s="318" t="s">
        <v>235</v>
      </c>
      <c r="M17" s="335"/>
      <c r="N17" s="335"/>
      <c r="O17" s="335"/>
      <c r="P17" s="335"/>
      <c r="Q17" s="335"/>
      <c r="R17" s="335"/>
      <c r="S17" s="335"/>
      <c r="T17" s="335"/>
      <c r="U17" s="335"/>
      <c r="V17" s="335"/>
      <c r="W17" s="335"/>
      <c r="X17" s="335"/>
      <c r="Y17" s="335"/>
      <c r="Z17" s="335"/>
      <c r="AA17" s="335"/>
      <c r="AB17" s="335"/>
      <c r="AC17" s="335"/>
      <c r="AD17" s="335"/>
      <c r="AE17" s="335"/>
      <c r="AF17" s="335"/>
      <c r="AG17" s="335"/>
      <c r="AH17" s="335"/>
      <c r="AI17" s="335"/>
      <c r="AJ17" s="335"/>
    </row>
    <row r="18" spans="1:36">
      <c r="A18" s="319"/>
      <c r="B18" s="313"/>
      <c r="C18" s="313" t="s">
        <v>113</v>
      </c>
      <c r="D18" s="313"/>
      <c r="E18" s="11"/>
      <c r="F18" s="11"/>
      <c r="G18" s="11"/>
      <c r="H18" s="313" t="s">
        <v>113</v>
      </c>
      <c r="I18" s="320" t="s">
        <v>236</v>
      </c>
      <c r="J18" s="313" t="s">
        <v>237</v>
      </c>
      <c r="K18" s="320" t="s">
        <v>238</v>
      </c>
      <c r="L18" s="321" t="s">
        <v>113</v>
      </c>
      <c r="M18" s="335"/>
      <c r="N18" s="335"/>
      <c r="O18" s="335"/>
      <c r="P18" s="335"/>
      <c r="Q18" s="335"/>
      <c r="R18" s="335"/>
      <c r="S18" s="335"/>
      <c r="T18" s="335"/>
      <c r="U18" s="335"/>
      <c r="V18" s="335"/>
      <c r="W18" s="335"/>
      <c r="X18" s="335"/>
      <c r="Y18" s="335"/>
      <c r="Z18" s="335"/>
      <c r="AA18" s="335"/>
      <c r="AB18" s="335"/>
      <c r="AC18" s="335"/>
      <c r="AD18" s="335"/>
      <c r="AE18" s="335"/>
      <c r="AF18" s="335"/>
      <c r="AG18" s="335"/>
      <c r="AH18" s="335"/>
      <c r="AI18" s="335"/>
    </row>
    <row r="19" spans="1:36">
      <c r="A19" s="319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322"/>
    </row>
    <row r="20" spans="1:36">
      <c r="A20" s="323" t="s">
        <v>6</v>
      </c>
      <c r="B20" s="313">
        <f t="shared" ref="B20:B30" si="0">B21+1</f>
        <v>13</v>
      </c>
      <c r="C20" s="315">
        <f t="shared" ref="C20:C30" si="1">13/B20</f>
        <v>1</v>
      </c>
      <c r="D20" s="11">
        <v>4</v>
      </c>
      <c r="E20" s="11">
        <v>2</v>
      </c>
      <c r="F20" s="11">
        <f t="shared" ref="F20:F32" si="2">B20*D20</f>
        <v>52</v>
      </c>
      <c r="G20" s="11">
        <f t="shared" ref="G20:G32" si="3">B20*E20</f>
        <v>26</v>
      </c>
      <c r="H20" s="315">
        <f>C20/2 - $E$14</f>
        <v>0.41000000000000003</v>
      </c>
      <c r="I20" s="324">
        <f>H20/25.4</f>
        <v>1.614173228346457E-2</v>
      </c>
      <c r="J20" s="325">
        <v>1.4999999999999999E-2</v>
      </c>
      <c r="K20" s="324">
        <f>J20*25.4</f>
        <v>0.38099999999999995</v>
      </c>
      <c r="L20" s="326">
        <f t="shared" ref="L20:L32" si="4">C20-K20</f>
        <v>0.61899999999999999</v>
      </c>
      <c r="N20">
        <f>(L20*(B20))/(B20*K20)</f>
        <v>1.624671916010499</v>
      </c>
    </row>
    <row r="21" spans="1:36">
      <c r="A21" s="323" t="s">
        <v>9</v>
      </c>
      <c r="B21" s="313">
        <f t="shared" si="0"/>
        <v>12</v>
      </c>
      <c r="C21" s="315">
        <f t="shared" si="1"/>
        <v>1.0833333333333333</v>
      </c>
      <c r="D21" s="11">
        <v>4</v>
      </c>
      <c r="E21" s="11">
        <v>2</v>
      </c>
      <c r="F21" s="11">
        <f t="shared" si="2"/>
        <v>48</v>
      </c>
      <c r="G21" s="11">
        <f t="shared" si="3"/>
        <v>24</v>
      </c>
      <c r="H21" s="315">
        <f t="shared" ref="H21:H32" si="5">C21/2 - $E$14</f>
        <v>0.45166666666666666</v>
      </c>
      <c r="I21" s="324">
        <f t="shared" ref="I21:I32" si="6">H21/25.4</f>
        <v>1.778215223097113E-2</v>
      </c>
      <c r="J21" s="327">
        <v>0.02</v>
      </c>
      <c r="K21" s="324">
        <f t="shared" ref="K21:K32" si="7">J21*25.4</f>
        <v>0.50800000000000001</v>
      </c>
      <c r="L21" s="326">
        <f t="shared" si="4"/>
        <v>0.57533333333333325</v>
      </c>
    </row>
    <row r="22" spans="1:36">
      <c r="A22" s="323" t="s">
        <v>11</v>
      </c>
      <c r="B22" s="313">
        <f t="shared" si="0"/>
        <v>11</v>
      </c>
      <c r="C22" s="315">
        <f t="shared" si="1"/>
        <v>1.1818181818181819</v>
      </c>
      <c r="D22" s="11">
        <v>4</v>
      </c>
      <c r="E22" s="11">
        <v>1</v>
      </c>
      <c r="F22" s="11">
        <f t="shared" si="2"/>
        <v>44</v>
      </c>
      <c r="G22" s="11">
        <f t="shared" si="3"/>
        <v>11</v>
      </c>
      <c r="H22" s="315">
        <f t="shared" si="5"/>
        <v>0.50090909090909097</v>
      </c>
      <c r="I22" s="324">
        <f t="shared" si="6"/>
        <v>1.9720830350751613E-2</v>
      </c>
      <c r="J22" s="327">
        <v>0.02</v>
      </c>
      <c r="K22" s="324">
        <f t="shared" si="7"/>
        <v>0.50800000000000001</v>
      </c>
      <c r="L22" s="326">
        <f t="shared" si="4"/>
        <v>0.67381818181818187</v>
      </c>
    </row>
    <row r="23" spans="1:36">
      <c r="A23" s="323" t="s">
        <v>13</v>
      </c>
      <c r="B23" s="313">
        <f t="shared" si="0"/>
        <v>10</v>
      </c>
      <c r="C23" s="315">
        <f t="shared" si="1"/>
        <v>1.3</v>
      </c>
      <c r="D23" s="11">
        <v>5</v>
      </c>
      <c r="E23" s="11">
        <v>0</v>
      </c>
      <c r="F23" s="11">
        <f t="shared" si="2"/>
        <v>50</v>
      </c>
      <c r="G23" s="11">
        <f t="shared" si="3"/>
        <v>0</v>
      </c>
      <c r="H23" s="315">
        <f t="shared" si="5"/>
        <v>0.56000000000000005</v>
      </c>
      <c r="I23" s="324">
        <f t="shared" si="6"/>
        <v>2.2047244094488192E-2</v>
      </c>
      <c r="J23" s="327">
        <v>0.02</v>
      </c>
      <c r="K23" s="324">
        <f t="shared" si="7"/>
        <v>0.50800000000000001</v>
      </c>
      <c r="L23" s="326">
        <f t="shared" si="4"/>
        <v>0.79200000000000004</v>
      </c>
    </row>
    <row r="24" spans="1:36">
      <c r="A24" s="323" t="s">
        <v>15</v>
      </c>
      <c r="B24" s="313">
        <f t="shared" si="0"/>
        <v>9</v>
      </c>
      <c r="C24" s="315">
        <f t="shared" si="1"/>
        <v>1.4444444444444444</v>
      </c>
      <c r="D24" s="11">
        <v>5</v>
      </c>
      <c r="E24" s="11">
        <v>0</v>
      </c>
      <c r="F24" s="11">
        <f t="shared" si="2"/>
        <v>45</v>
      </c>
      <c r="G24" s="11">
        <f t="shared" si="3"/>
        <v>0</v>
      </c>
      <c r="H24" s="315">
        <f t="shared" si="5"/>
        <v>0.63222222222222224</v>
      </c>
      <c r="I24" s="324">
        <f t="shared" si="6"/>
        <v>2.4890638670166231E-2</v>
      </c>
      <c r="J24" s="327">
        <v>2.5000000000000001E-2</v>
      </c>
      <c r="K24" s="324">
        <f t="shared" si="7"/>
        <v>0.63500000000000001</v>
      </c>
      <c r="L24" s="326">
        <f t="shared" si="4"/>
        <v>0.80944444444444441</v>
      </c>
    </row>
    <row r="25" spans="1:36">
      <c r="A25" s="323" t="s">
        <v>17</v>
      </c>
      <c r="B25" s="313">
        <f t="shared" si="0"/>
        <v>8</v>
      </c>
      <c r="C25" s="315">
        <f t="shared" si="1"/>
        <v>1.625</v>
      </c>
      <c r="D25" s="11">
        <v>5</v>
      </c>
      <c r="E25" s="11">
        <v>0</v>
      </c>
      <c r="F25" s="11">
        <f t="shared" si="2"/>
        <v>40</v>
      </c>
      <c r="G25" s="11">
        <f t="shared" si="3"/>
        <v>0</v>
      </c>
      <c r="H25" s="315">
        <f t="shared" si="5"/>
        <v>0.72250000000000003</v>
      </c>
      <c r="I25" s="324">
        <f t="shared" si="6"/>
        <v>2.8444881889763782E-2</v>
      </c>
      <c r="J25" s="327">
        <v>0.03</v>
      </c>
      <c r="K25" s="324">
        <f t="shared" si="7"/>
        <v>0.7619999999999999</v>
      </c>
      <c r="L25" s="326">
        <f t="shared" si="4"/>
        <v>0.8630000000000001</v>
      </c>
    </row>
    <row r="26" spans="1:36">
      <c r="A26" s="323" t="s">
        <v>19</v>
      </c>
      <c r="B26" s="313">
        <f t="shared" si="0"/>
        <v>7</v>
      </c>
      <c r="C26" s="315">
        <f t="shared" si="1"/>
        <v>1.8571428571428572</v>
      </c>
      <c r="D26" s="11">
        <v>4</v>
      </c>
      <c r="E26" s="11">
        <v>2</v>
      </c>
      <c r="F26" s="11">
        <f t="shared" si="2"/>
        <v>28</v>
      </c>
      <c r="G26" s="11">
        <f t="shared" si="3"/>
        <v>14</v>
      </c>
      <c r="H26" s="315">
        <f t="shared" si="5"/>
        <v>0.83857142857142863</v>
      </c>
      <c r="I26" s="324">
        <f t="shared" si="6"/>
        <v>3.3014623172103491E-2</v>
      </c>
      <c r="J26" s="327">
        <v>3.5000000000000003E-2</v>
      </c>
      <c r="K26" s="324">
        <f t="shared" si="7"/>
        <v>0.88900000000000001</v>
      </c>
      <c r="L26" s="326">
        <f t="shared" si="4"/>
        <v>0.96814285714285719</v>
      </c>
    </row>
    <row r="27" spans="1:36">
      <c r="A27" s="323" t="s">
        <v>21</v>
      </c>
      <c r="B27" s="313">
        <f t="shared" si="0"/>
        <v>6</v>
      </c>
      <c r="C27" s="315">
        <f t="shared" si="1"/>
        <v>2.1666666666666665</v>
      </c>
      <c r="D27" s="11">
        <v>4</v>
      </c>
      <c r="E27" s="11">
        <v>3</v>
      </c>
      <c r="F27" s="11">
        <f t="shared" si="2"/>
        <v>24</v>
      </c>
      <c r="G27" s="11">
        <f t="shared" si="3"/>
        <v>18</v>
      </c>
      <c r="H27" s="315">
        <f t="shared" si="5"/>
        <v>0.99333333333333329</v>
      </c>
      <c r="I27" s="324">
        <f t="shared" si="6"/>
        <v>3.910761154855643E-2</v>
      </c>
      <c r="J27" s="327">
        <v>0.04</v>
      </c>
      <c r="K27" s="324">
        <f t="shared" si="7"/>
        <v>1.016</v>
      </c>
      <c r="L27" s="326">
        <f t="shared" si="4"/>
        <v>1.1506666666666665</v>
      </c>
    </row>
    <row r="28" spans="1:36">
      <c r="A28" s="323" t="s">
        <v>22</v>
      </c>
      <c r="B28" s="313">
        <f t="shared" si="0"/>
        <v>5</v>
      </c>
      <c r="C28" s="315">
        <f t="shared" si="1"/>
        <v>2.6</v>
      </c>
      <c r="D28" s="11">
        <v>4</v>
      </c>
      <c r="E28" s="11">
        <v>2</v>
      </c>
      <c r="F28" s="11">
        <f t="shared" si="2"/>
        <v>20</v>
      </c>
      <c r="G28" s="11">
        <f t="shared" si="3"/>
        <v>10</v>
      </c>
      <c r="H28" s="315">
        <f t="shared" si="5"/>
        <v>1.21</v>
      </c>
      <c r="I28" s="324">
        <f t="shared" si="6"/>
        <v>4.7637795275590554E-2</v>
      </c>
      <c r="J28" s="327">
        <v>0.05</v>
      </c>
      <c r="K28" s="324">
        <f t="shared" si="7"/>
        <v>1.27</v>
      </c>
      <c r="L28" s="326">
        <f t="shared" si="4"/>
        <v>1.33</v>
      </c>
    </row>
    <row r="29" spans="1:36">
      <c r="A29" s="323" t="s">
        <v>24</v>
      </c>
      <c r="B29" s="313">
        <f t="shared" si="0"/>
        <v>4</v>
      </c>
      <c r="C29" s="315">
        <f t="shared" si="1"/>
        <v>3.25</v>
      </c>
      <c r="D29" s="11">
        <v>5</v>
      </c>
      <c r="E29" s="11">
        <v>0</v>
      </c>
      <c r="F29" s="11">
        <f t="shared" si="2"/>
        <v>20</v>
      </c>
      <c r="G29" s="11">
        <f t="shared" si="3"/>
        <v>0</v>
      </c>
      <c r="H29" s="315">
        <f t="shared" si="5"/>
        <v>1.5349999999999999</v>
      </c>
      <c r="I29" s="324">
        <f t="shared" si="6"/>
        <v>6.0433070866141733E-2</v>
      </c>
      <c r="J29" s="327">
        <v>0.06</v>
      </c>
      <c r="K29" s="324">
        <f t="shared" si="7"/>
        <v>1.5239999999999998</v>
      </c>
      <c r="L29" s="326">
        <f t="shared" si="4"/>
        <v>1.7260000000000002</v>
      </c>
    </row>
    <row r="30" spans="1:36">
      <c r="A30" s="323" t="s">
        <v>26</v>
      </c>
      <c r="B30" s="313">
        <f t="shared" si="0"/>
        <v>3</v>
      </c>
      <c r="C30" s="315">
        <f t="shared" si="1"/>
        <v>4.333333333333333</v>
      </c>
      <c r="D30" s="11">
        <v>5</v>
      </c>
      <c r="E30" s="11">
        <v>0</v>
      </c>
      <c r="F30" s="11">
        <f t="shared" si="2"/>
        <v>15</v>
      </c>
      <c r="G30" s="11">
        <f t="shared" si="3"/>
        <v>0</v>
      </c>
      <c r="H30" s="315">
        <f t="shared" si="5"/>
        <v>2.0766666666666667</v>
      </c>
      <c r="I30" s="324">
        <f t="shared" si="6"/>
        <v>8.1758530183727043E-2</v>
      </c>
      <c r="J30" s="327">
        <v>0.08</v>
      </c>
      <c r="K30" s="324">
        <f t="shared" si="7"/>
        <v>2.032</v>
      </c>
      <c r="L30" s="326">
        <f t="shared" si="4"/>
        <v>2.301333333333333</v>
      </c>
    </row>
    <row r="31" spans="1:36">
      <c r="A31" s="323" t="s">
        <v>239</v>
      </c>
      <c r="B31" s="313">
        <f>B32+1</f>
        <v>2</v>
      </c>
      <c r="C31" s="315">
        <f>13/B31</f>
        <v>6.5</v>
      </c>
      <c r="D31" s="11">
        <v>5</v>
      </c>
      <c r="E31" s="11">
        <v>0</v>
      </c>
      <c r="F31" s="11">
        <f t="shared" si="2"/>
        <v>10</v>
      </c>
      <c r="G31" s="11">
        <f t="shared" si="3"/>
        <v>0</v>
      </c>
      <c r="H31" s="315">
        <f t="shared" si="5"/>
        <v>3.16</v>
      </c>
      <c r="I31" s="324">
        <f t="shared" si="6"/>
        <v>0.12440944881889765</v>
      </c>
      <c r="J31" s="327">
        <v>0.125</v>
      </c>
      <c r="K31" s="324">
        <f t="shared" si="7"/>
        <v>3.1749999999999998</v>
      </c>
      <c r="L31" s="326">
        <f t="shared" si="4"/>
        <v>3.3250000000000002</v>
      </c>
    </row>
    <row r="32" spans="1:36" ht="15.75" thickBot="1">
      <c r="A32" s="328" t="s">
        <v>89</v>
      </c>
      <c r="B32" s="329">
        <v>1</v>
      </c>
      <c r="C32" s="316">
        <f>13/B32</f>
        <v>13</v>
      </c>
      <c r="D32" s="330">
        <v>4</v>
      </c>
      <c r="E32" s="330">
        <v>1</v>
      </c>
      <c r="F32" s="330">
        <f t="shared" si="2"/>
        <v>4</v>
      </c>
      <c r="G32" s="330">
        <f t="shared" si="3"/>
        <v>1</v>
      </c>
      <c r="H32" s="338">
        <f t="shared" si="5"/>
        <v>6.41</v>
      </c>
      <c r="I32" s="331">
        <f t="shared" si="6"/>
        <v>0.25236220472440946</v>
      </c>
      <c r="J32" s="332">
        <v>0.25</v>
      </c>
      <c r="K32" s="331">
        <f t="shared" si="7"/>
        <v>6.35</v>
      </c>
      <c r="L32" s="333">
        <f t="shared" si="4"/>
        <v>6.65</v>
      </c>
    </row>
    <row r="33" spans="1:14">
      <c r="A33" s="51"/>
      <c r="B33" s="51"/>
      <c r="C33" s="312"/>
      <c r="H33" s="312"/>
      <c r="I33" s="334"/>
      <c r="J33" s="334"/>
      <c r="K33" s="334"/>
      <c r="L33" s="334"/>
      <c r="M33" s="334"/>
      <c r="N33" s="334"/>
    </row>
    <row r="34" spans="1:14">
      <c r="A34" s="51" t="s">
        <v>240</v>
      </c>
      <c r="D34">
        <f>SUM(D20:D32)</f>
        <v>58</v>
      </c>
      <c r="E34">
        <f>SUM(E20:E32)</f>
        <v>13</v>
      </c>
      <c r="F34">
        <f>SUM(F20:F32)</f>
        <v>400</v>
      </c>
      <c r="G34">
        <f>SUM(G20:G32)</f>
        <v>104</v>
      </c>
    </row>
    <row r="35" spans="1:14">
      <c r="A35" s="343"/>
    </row>
    <row r="36" spans="1:14">
      <c r="A36" s="343"/>
    </row>
    <row r="37" spans="1:14">
      <c r="A37" s="343"/>
    </row>
    <row r="38" spans="1:14" ht="26.25">
      <c r="A38" s="777" t="s">
        <v>335</v>
      </c>
      <c r="B38" s="777"/>
      <c r="C38" s="777"/>
      <c r="D38" s="777"/>
      <c r="E38" s="777"/>
    </row>
    <row r="39" spans="1:14">
      <c r="L39" s="5"/>
      <c r="M39" s="11"/>
      <c r="N39" s="11"/>
    </row>
    <row r="40" spans="1:14">
      <c r="A40" s="11" t="s">
        <v>246</v>
      </c>
      <c r="B40" s="5" t="s">
        <v>241</v>
      </c>
      <c r="C40" s="4" t="s">
        <v>247</v>
      </c>
      <c r="D40" s="11" t="s">
        <v>254</v>
      </c>
      <c r="E40" s="11" t="s">
        <v>248</v>
      </c>
      <c r="F40" s="5" t="s">
        <v>234</v>
      </c>
      <c r="G40" s="11"/>
      <c r="H40" s="4" t="s">
        <v>227</v>
      </c>
      <c r="I40" s="5" t="s">
        <v>255</v>
      </c>
      <c r="J40" s="11" t="s">
        <v>272</v>
      </c>
      <c r="K40" s="11" t="s">
        <v>272</v>
      </c>
      <c r="L40" s="139" t="s">
        <v>262</v>
      </c>
      <c r="M40" s="11" t="s">
        <v>256</v>
      </c>
      <c r="N40" s="11" t="s">
        <v>256</v>
      </c>
    </row>
    <row r="41" spans="1:14">
      <c r="A41" s="32"/>
      <c r="B41" s="2"/>
      <c r="C41" s="1" t="s">
        <v>113</v>
      </c>
      <c r="D41" s="32" t="s">
        <v>266</v>
      </c>
      <c r="E41" s="32" t="s">
        <v>266</v>
      </c>
      <c r="F41" s="2" t="s">
        <v>113</v>
      </c>
      <c r="G41" s="32" t="s">
        <v>112</v>
      </c>
      <c r="H41" s="1" t="s">
        <v>237</v>
      </c>
      <c r="I41" s="2"/>
      <c r="J41" s="32" t="s">
        <v>113</v>
      </c>
      <c r="K41" s="32" t="s">
        <v>268</v>
      </c>
      <c r="L41" s="155" t="s">
        <v>263</v>
      </c>
      <c r="M41" s="32" t="s">
        <v>113</v>
      </c>
      <c r="N41" s="32" t="s">
        <v>112</v>
      </c>
    </row>
    <row r="42" spans="1:14">
      <c r="B42" s="5"/>
      <c r="C42" s="4"/>
      <c r="F42" s="5"/>
      <c r="G42" s="11"/>
      <c r="H42" s="4"/>
      <c r="I42" s="5"/>
      <c r="J42" s="11"/>
      <c r="K42" s="11"/>
      <c r="L42" s="139"/>
      <c r="M42" s="11"/>
      <c r="N42" s="11"/>
    </row>
    <row r="43" spans="1:14">
      <c r="A43" s="66" t="s">
        <v>6</v>
      </c>
      <c r="B43" s="139">
        <v>13</v>
      </c>
      <c r="C43" s="355">
        <f>13/B43</f>
        <v>1</v>
      </c>
      <c r="D43" s="66">
        <v>4</v>
      </c>
      <c r="E43" s="66">
        <f t="shared" ref="E43:E54" si="8">B43*D43</f>
        <v>52</v>
      </c>
      <c r="F43" s="359">
        <f>C43/2-$E$14</f>
        <v>0.41000000000000003</v>
      </c>
      <c r="G43" s="339">
        <f>F43/25.4</f>
        <v>1.614173228346457E-2</v>
      </c>
      <c r="H43" s="140">
        <v>1.4999999999999999E-2</v>
      </c>
      <c r="I43" s="356" t="s">
        <v>6</v>
      </c>
      <c r="J43" s="107">
        <f>A!$E$72</f>
        <v>0.38399999999999984</v>
      </c>
      <c r="K43" s="365" t="str">
        <f t="shared" ref="K43:K62" si="9">IF(J43&gt;F43, "over", "under")</f>
        <v>under</v>
      </c>
      <c r="L43" s="139">
        <f>B43+1</f>
        <v>14</v>
      </c>
      <c r="M43" s="339">
        <f t="shared" ref="M43:M62" si="10">C43-J43</f>
        <v>0.6160000000000001</v>
      </c>
      <c r="N43" s="516">
        <f>M43/25.4</f>
        <v>2.4251968503937012E-2</v>
      </c>
    </row>
    <row r="44" spans="1:14">
      <c r="A44" s="66" t="s">
        <v>164</v>
      </c>
      <c r="B44" s="139">
        <v>13</v>
      </c>
      <c r="C44" s="355">
        <f t="shared" ref="C44:C62" si="11">13/B44</f>
        <v>1</v>
      </c>
      <c r="D44" s="66">
        <v>2</v>
      </c>
      <c r="E44" s="66">
        <f t="shared" si="8"/>
        <v>26</v>
      </c>
      <c r="F44" s="359">
        <f t="shared" ref="F44:F54" si="12">C44/2-$E$14</f>
        <v>0.41000000000000003</v>
      </c>
      <c r="G44" s="339">
        <f t="shared" ref="G44:G54" si="13">F44/25.4</f>
        <v>1.614173228346457E-2</v>
      </c>
      <c r="H44" s="140">
        <v>1.4999999999999999E-2</v>
      </c>
      <c r="I44" s="356" t="s">
        <v>164</v>
      </c>
      <c r="J44" s="107">
        <f>As!$E$47</f>
        <v>0.38482758620689661</v>
      </c>
      <c r="K44" s="365" t="str">
        <f t="shared" si="9"/>
        <v>under</v>
      </c>
      <c r="L44" s="139">
        <f t="shared" ref="L44:L60" si="14">B44+1</f>
        <v>14</v>
      </c>
      <c r="M44" s="339">
        <f t="shared" si="10"/>
        <v>0.61517241379310339</v>
      </c>
      <c r="N44" s="516">
        <f t="shared" ref="N44:N54" si="15">M44/25.4</f>
        <v>2.4219386369807222E-2</v>
      </c>
    </row>
    <row r="45" spans="1:14">
      <c r="A45" s="66" t="s">
        <v>9</v>
      </c>
      <c r="B45" s="139">
        <v>12</v>
      </c>
      <c r="C45" s="355">
        <f t="shared" si="11"/>
        <v>1.0833333333333333</v>
      </c>
      <c r="D45" s="66">
        <v>4</v>
      </c>
      <c r="E45" s="66">
        <f t="shared" si="8"/>
        <v>48</v>
      </c>
      <c r="F45" s="359">
        <f t="shared" si="12"/>
        <v>0.45166666666666666</v>
      </c>
      <c r="G45" s="339">
        <f t="shared" si="13"/>
        <v>1.778215223097113E-2</v>
      </c>
      <c r="H45" s="140">
        <v>0.02</v>
      </c>
      <c r="I45" s="356" t="s">
        <v>9</v>
      </c>
      <c r="J45" s="107">
        <f>B!$E$172</f>
        <v>0.50045454545454471</v>
      </c>
      <c r="K45" s="365" t="str">
        <f t="shared" si="9"/>
        <v>over</v>
      </c>
      <c r="L45" s="139">
        <f t="shared" si="14"/>
        <v>13</v>
      </c>
      <c r="M45" s="339">
        <f t="shared" si="10"/>
        <v>0.58287878787878855</v>
      </c>
      <c r="N45" s="516">
        <f t="shared" si="15"/>
        <v>2.2947983774755456E-2</v>
      </c>
    </row>
    <row r="46" spans="1:14">
      <c r="A46" s="66" t="s">
        <v>165</v>
      </c>
      <c r="B46" s="139">
        <v>12</v>
      </c>
      <c r="C46" s="355">
        <f t="shared" si="11"/>
        <v>1.0833333333333333</v>
      </c>
      <c r="D46" s="66">
        <v>2</v>
      </c>
      <c r="E46" s="66">
        <f t="shared" si="8"/>
        <v>24</v>
      </c>
      <c r="F46" s="359">
        <f t="shared" si="12"/>
        <v>0.45166666666666666</v>
      </c>
      <c r="G46" s="339">
        <f t="shared" si="13"/>
        <v>1.778215223097113E-2</v>
      </c>
      <c r="H46" s="140">
        <v>0.02</v>
      </c>
      <c r="I46" s="356" t="s">
        <v>165</v>
      </c>
      <c r="J46" s="107">
        <f>Bs!$E$55</f>
        <v>0.51437837837837885</v>
      </c>
      <c r="K46" s="365" t="str">
        <f t="shared" si="9"/>
        <v>over</v>
      </c>
      <c r="L46" s="139">
        <f t="shared" si="14"/>
        <v>13</v>
      </c>
      <c r="M46" s="339">
        <f t="shared" si="10"/>
        <v>0.56895495495495441</v>
      </c>
      <c r="N46" s="516">
        <f t="shared" si="15"/>
        <v>2.2399801376179307E-2</v>
      </c>
    </row>
    <row r="47" spans="1:14">
      <c r="A47" s="66" t="s">
        <v>11</v>
      </c>
      <c r="B47" s="139">
        <v>11</v>
      </c>
      <c r="C47" s="355">
        <f t="shared" si="11"/>
        <v>1.1818181818181819</v>
      </c>
      <c r="D47" s="66">
        <v>4</v>
      </c>
      <c r="E47" s="66">
        <f t="shared" si="8"/>
        <v>44</v>
      </c>
      <c r="F47" s="359">
        <f t="shared" si="12"/>
        <v>0.50090909090909097</v>
      </c>
      <c r="G47" s="339">
        <f t="shared" si="13"/>
        <v>1.9720830350751613E-2</v>
      </c>
      <c r="H47" s="140">
        <v>0.02</v>
      </c>
      <c r="I47" s="356" t="s">
        <v>9</v>
      </c>
      <c r="J47" s="107">
        <f>B!$E$172</f>
        <v>0.50045454545454471</v>
      </c>
      <c r="K47" s="365" t="str">
        <f t="shared" si="9"/>
        <v>under</v>
      </c>
      <c r="L47" s="139">
        <f t="shared" si="14"/>
        <v>12</v>
      </c>
      <c r="M47" s="339">
        <f t="shared" si="10"/>
        <v>0.68136363636363717</v>
      </c>
      <c r="N47" s="516">
        <f t="shared" si="15"/>
        <v>2.6825340014316426E-2</v>
      </c>
    </row>
    <row r="48" spans="1:14">
      <c r="A48" s="66" t="s">
        <v>226</v>
      </c>
      <c r="B48" s="139">
        <v>11</v>
      </c>
      <c r="C48" s="355">
        <f t="shared" si="11"/>
        <v>1.1818181818181819</v>
      </c>
      <c r="D48" s="66">
        <v>1</v>
      </c>
      <c r="E48" s="66">
        <f t="shared" si="8"/>
        <v>11</v>
      </c>
      <c r="F48" s="359">
        <f t="shared" si="12"/>
        <v>0.50090909090909097</v>
      </c>
      <c r="G48" s="339">
        <f t="shared" si="13"/>
        <v>1.9720830350751613E-2</v>
      </c>
      <c r="H48" s="140">
        <v>0.02</v>
      </c>
      <c r="I48" s="356" t="s">
        <v>165</v>
      </c>
      <c r="J48" s="107">
        <f>Bs!$E$55</f>
        <v>0.51437837837837885</v>
      </c>
      <c r="K48" s="365" t="str">
        <f t="shared" si="9"/>
        <v>over</v>
      </c>
      <c r="L48" s="139">
        <f t="shared" si="14"/>
        <v>12</v>
      </c>
      <c r="M48" s="339">
        <f t="shared" si="10"/>
        <v>0.66743980343980303</v>
      </c>
      <c r="N48" s="516">
        <f t="shared" si="15"/>
        <v>2.6277157615740277E-2</v>
      </c>
    </row>
    <row r="49" spans="1:14">
      <c r="A49" s="11" t="s">
        <v>13</v>
      </c>
      <c r="B49" s="5">
        <v>10</v>
      </c>
      <c r="C49" s="355">
        <f t="shared" si="11"/>
        <v>1.3</v>
      </c>
      <c r="D49" s="11">
        <v>5</v>
      </c>
      <c r="E49" s="11">
        <f t="shared" si="8"/>
        <v>50</v>
      </c>
      <c r="F49" s="360">
        <f t="shared" si="12"/>
        <v>0.56000000000000005</v>
      </c>
      <c r="G49" s="315">
        <f t="shared" si="13"/>
        <v>2.2047244094488192E-2</v>
      </c>
      <c r="H49" s="4">
        <v>0.02</v>
      </c>
      <c r="I49" s="345" t="s">
        <v>9</v>
      </c>
      <c r="J49" s="107">
        <f>B!$E$172</f>
        <v>0.50045454545454471</v>
      </c>
      <c r="K49" s="365" t="str">
        <f t="shared" si="9"/>
        <v>under</v>
      </c>
      <c r="L49" s="139">
        <f t="shared" si="14"/>
        <v>11</v>
      </c>
      <c r="M49" s="315">
        <f t="shared" si="10"/>
        <v>0.79954545454545534</v>
      </c>
      <c r="N49" s="679">
        <f t="shared" si="15"/>
        <v>3.1478167501789583E-2</v>
      </c>
    </row>
    <row r="50" spans="1:14">
      <c r="A50" s="11" t="s">
        <v>15</v>
      </c>
      <c r="B50" s="5">
        <v>9</v>
      </c>
      <c r="C50" s="355">
        <f t="shared" si="11"/>
        <v>1.4444444444444444</v>
      </c>
      <c r="D50" s="11">
        <v>5</v>
      </c>
      <c r="E50" s="11">
        <f t="shared" si="8"/>
        <v>45</v>
      </c>
      <c r="F50" s="360">
        <f t="shared" si="12"/>
        <v>0.63222222222222224</v>
      </c>
      <c r="G50" s="315">
        <f t="shared" si="13"/>
        <v>2.4890638670166231E-2</v>
      </c>
      <c r="H50" s="4">
        <v>2.5000000000000001E-2</v>
      </c>
      <c r="I50" s="345" t="s">
        <v>11</v>
      </c>
      <c r="J50" s="13">
        <f>'C'!$E$48</f>
        <v>0.6309444444444442</v>
      </c>
      <c r="K50" s="365" t="str">
        <f t="shared" si="9"/>
        <v>under</v>
      </c>
      <c r="L50" s="139">
        <f t="shared" si="14"/>
        <v>10</v>
      </c>
      <c r="M50" s="315">
        <f t="shared" si="10"/>
        <v>0.81350000000000022</v>
      </c>
      <c r="N50" s="679">
        <f t="shared" si="15"/>
        <v>3.2027559055118122E-2</v>
      </c>
    </row>
    <row r="51" spans="1:14">
      <c r="A51" s="11" t="s">
        <v>17</v>
      </c>
      <c r="B51" s="5">
        <v>8</v>
      </c>
      <c r="C51" s="355">
        <f t="shared" si="11"/>
        <v>1.625</v>
      </c>
      <c r="D51" s="11">
        <v>5</v>
      </c>
      <c r="E51" s="11">
        <f t="shared" si="8"/>
        <v>40</v>
      </c>
      <c r="F51" s="360">
        <f t="shared" si="12"/>
        <v>0.72250000000000003</v>
      </c>
      <c r="G51" s="315">
        <f t="shared" si="13"/>
        <v>2.8444881889763782E-2</v>
      </c>
      <c r="H51" s="4">
        <v>0.03</v>
      </c>
      <c r="I51" s="345" t="s">
        <v>13</v>
      </c>
      <c r="J51" s="13">
        <f>D!$E$60</f>
        <v>0.76773809523809533</v>
      </c>
      <c r="K51" s="365" t="str">
        <f t="shared" si="9"/>
        <v>over</v>
      </c>
      <c r="L51" s="139">
        <f t="shared" si="14"/>
        <v>9</v>
      </c>
      <c r="M51" s="315">
        <f t="shared" si="10"/>
        <v>0.85726190476190467</v>
      </c>
      <c r="N51" s="679">
        <f t="shared" si="15"/>
        <v>3.3750468691413571E-2</v>
      </c>
    </row>
    <row r="52" spans="1:14">
      <c r="A52" s="11" t="s">
        <v>19</v>
      </c>
      <c r="B52" s="5">
        <v>7</v>
      </c>
      <c r="C52" s="355">
        <f t="shared" si="11"/>
        <v>1.8571428571428572</v>
      </c>
      <c r="D52" s="11">
        <v>4</v>
      </c>
      <c r="E52" s="11">
        <f t="shared" si="8"/>
        <v>28</v>
      </c>
      <c r="F52" s="360">
        <f t="shared" si="12"/>
        <v>0.83857142857142863</v>
      </c>
      <c r="G52" s="315">
        <f t="shared" si="13"/>
        <v>3.3014623172103491E-2</v>
      </c>
      <c r="H52" s="4">
        <v>3.5000000000000003E-2</v>
      </c>
      <c r="I52" s="345" t="s">
        <v>15</v>
      </c>
      <c r="J52" s="13">
        <f>E!$E$55</f>
        <v>0.89288288288288087</v>
      </c>
      <c r="K52" s="365" t="str">
        <f t="shared" si="9"/>
        <v>over</v>
      </c>
      <c r="L52" s="139">
        <f t="shared" si="14"/>
        <v>8</v>
      </c>
      <c r="M52" s="315">
        <f t="shared" si="10"/>
        <v>0.96425997425997634</v>
      </c>
      <c r="N52" s="679">
        <f t="shared" si="15"/>
        <v>3.7962991112597495E-2</v>
      </c>
    </row>
    <row r="53" spans="1:14">
      <c r="A53" s="11" t="s">
        <v>168</v>
      </c>
      <c r="B53" s="5">
        <v>7</v>
      </c>
      <c r="C53" s="355">
        <f t="shared" si="11"/>
        <v>1.8571428571428572</v>
      </c>
      <c r="D53" s="11">
        <v>2</v>
      </c>
      <c r="E53" s="11">
        <f t="shared" si="8"/>
        <v>14</v>
      </c>
      <c r="F53" s="360">
        <f t="shared" si="12"/>
        <v>0.83857142857142863</v>
      </c>
      <c r="G53" s="315">
        <f t="shared" si="13"/>
        <v>3.3014623172103491E-2</v>
      </c>
      <c r="H53" s="4">
        <v>3.5000000000000003E-2</v>
      </c>
      <c r="I53" s="345" t="s">
        <v>166</v>
      </c>
      <c r="J53" s="13">
        <f>Es!$E$35</f>
        <v>0.8820588235294119</v>
      </c>
      <c r="K53" s="365" t="str">
        <f t="shared" si="9"/>
        <v>over</v>
      </c>
      <c r="L53" s="139">
        <f t="shared" si="14"/>
        <v>8</v>
      </c>
      <c r="M53" s="315">
        <f t="shared" si="10"/>
        <v>0.97508403361344531</v>
      </c>
      <c r="N53" s="679">
        <f t="shared" si="15"/>
        <v>3.8389135181631708E-2</v>
      </c>
    </row>
    <row r="54" spans="1:14">
      <c r="A54" s="11" t="s">
        <v>21</v>
      </c>
      <c r="B54" s="5">
        <v>6</v>
      </c>
      <c r="C54" s="355">
        <f t="shared" si="11"/>
        <v>2.1666666666666665</v>
      </c>
      <c r="D54" s="11">
        <v>4</v>
      </c>
      <c r="E54" s="11">
        <f t="shared" si="8"/>
        <v>24</v>
      </c>
      <c r="F54" s="360">
        <f t="shared" si="12"/>
        <v>0.99333333333333329</v>
      </c>
      <c r="G54" s="315">
        <f t="shared" si="13"/>
        <v>3.910761154855643E-2</v>
      </c>
      <c r="H54" s="4">
        <v>0.04</v>
      </c>
      <c r="I54" s="345" t="s">
        <v>17</v>
      </c>
      <c r="J54" s="13">
        <f>F!$E$43</f>
        <v>1.0238666666666671</v>
      </c>
      <c r="K54" s="365" t="str">
        <f t="shared" si="9"/>
        <v>over</v>
      </c>
      <c r="L54" s="139">
        <f t="shared" si="14"/>
        <v>7</v>
      </c>
      <c r="M54" s="315">
        <f t="shared" si="10"/>
        <v>1.1427999999999994</v>
      </c>
      <c r="N54" s="679">
        <f t="shared" si="15"/>
        <v>4.4992125984251945E-2</v>
      </c>
    </row>
    <row r="55" spans="1:14">
      <c r="A55" s="11" t="s">
        <v>243</v>
      </c>
      <c r="B55" s="5">
        <v>6</v>
      </c>
      <c r="C55" s="355">
        <f t="shared" si="11"/>
        <v>2.1666666666666665</v>
      </c>
      <c r="D55" s="11">
        <v>3</v>
      </c>
      <c r="E55" s="11">
        <f>B55*D55</f>
        <v>18</v>
      </c>
      <c r="F55" s="360">
        <f>C55/2-$E$14</f>
        <v>0.99333333333333329</v>
      </c>
      <c r="G55" s="315">
        <f>F55/25.4</f>
        <v>3.910761154855643E-2</v>
      </c>
      <c r="H55" s="4">
        <v>0.04</v>
      </c>
      <c r="I55" s="345" t="s">
        <v>167</v>
      </c>
      <c r="J55" s="13">
        <f>Fs!E$37</f>
        <v>1.0264473684210529</v>
      </c>
      <c r="K55" s="365" t="str">
        <f t="shared" si="9"/>
        <v>over</v>
      </c>
      <c r="L55" s="139">
        <f t="shared" si="14"/>
        <v>7</v>
      </c>
      <c r="M55" s="315">
        <f t="shared" si="10"/>
        <v>1.1402192982456136</v>
      </c>
      <c r="N55" s="679">
        <f>M55/25.4</f>
        <v>4.4890523552976916E-2</v>
      </c>
    </row>
    <row r="56" spans="1:14">
      <c r="A56" s="11" t="s">
        <v>22</v>
      </c>
      <c r="B56" s="5">
        <v>5</v>
      </c>
      <c r="C56" s="355">
        <f t="shared" si="11"/>
        <v>2.6</v>
      </c>
      <c r="D56" s="11">
        <v>4</v>
      </c>
      <c r="E56" s="11">
        <f t="shared" ref="E56:E62" si="16">B56*D56</f>
        <v>20</v>
      </c>
      <c r="F56" s="360">
        <f t="shared" ref="F56:F62" si="17">C56/2-$E$14</f>
        <v>1.21</v>
      </c>
      <c r="G56" s="315">
        <f t="shared" ref="G56:G62" si="18">F56/25.4</f>
        <v>4.7637795275590554E-2</v>
      </c>
      <c r="H56" s="4">
        <v>0.05</v>
      </c>
      <c r="I56" s="345" t="s">
        <v>19</v>
      </c>
      <c r="J56" s="13">
        <f>G!$E$39</f>
        <v>1.3200793650793656</v>
      </c>
      <c r="K56" s="365" t="str">
        <f t="shared" si="9"/>
        <v>over</v>
      </c>
      <c r="L56" s="139">
        <f t="shared" si="14"/>
        <v>6</v>
      </c>
      <c r="M56" s="315">
        <f t="shared" si="10"/>
        <v>1.2799206349206345</v>
      </c>
      <c r="N56" s="679">
        <f t="shared" ref="N56:N62" si="19">M56/25.4</f>
        <v>5.0390576177977736E-2</v>
      </c>
    </row>
    <row r="57" spans="1:14">
      <c r="A57" s="11" t="s">
        <v>244</v>
      </c>
      <c r="B57" s="5">
        <v>5</v>
      </c>
      <c r="C57" s="355">
        <f t="shared" si="11"/>
        <v>2.6</v>
      </c>
      <c r="D57" s="11">
        <v>2</v>
      </c>
      <c r="E57" s="11">
        <f t="shared" si="16"/>
        <v>10</v>
      </c>
      <c r="F57" s="360">
        <f t="shared" si="17"/>
        <v>1.21</v>
      </c>
      <c r="G57" s="315">
        <f t="shared" si="18"/>
        <v>4.7637795275590554E-2</v>
      </c>
      <c r="H57" s="4">
        <v>0.05</v>
      </c>
      <c r="I57" s="345" t="s">
        <v>168</v>
      </c>
      <c r="J57" s="13">
        <f>Gs!$E$32</f>
        <v>1.2821428571428577</v>
      </c>
      <c r="K57" s="365" t="str">
        <f t="shared" si="9"/>
        <v>over</v>
      </c>
      <c r="L57" s="139">
        <f t="shared" si="14"/>
        <v>6</v>
      </c>
      <c r="M57" s="315">
        <f t="shared" si="10"/>
        <v>1.3178571428571424</v>
      </c>
      <c r="N57" s="679">
        <f t="shared" si="19"/>
        <v>5.1884139482564665E-2</v>
      </c>
    </row>
    <row r="58" spans="1:14">
      <c r="A58" s="11" t="s">
        <v>24</v>
      </c>
      <c r="B58" s="5">
        <v>4</v>
      </c>
      <c r="C58" s="355">
        <f t="shared" si="11"/>
        <v>3.25</v>
      </c>
      <c r="D58" s="11">
        <v>5</v>
      </c>
      <c r="E58" s="11">
        <f t="shared" si="16"/>
        <v>20</v>
      </c>
      <c r="F58" s="360">
        <f t="shared" si="17"/>
        <v>1.5349999999999999</v>
      </c>
      <c r="G58" s="315">
        <f t="shared" si="18"/>
        <v>6.0433070866141733E-2</v>
      </c>
      <c r="H58" s="4">
        <v>0.06</v>
      </c>
      <c r="I58" s="345" t="s">
        <v>21</v>
      </c>
      <c r="J58" s="13">
        <f>H!$E$34</f>
        <v>1.5420833333333335</v>
      </c>
      <c r="K58" s="365" t="str">
        <f t="shared" si="9"/>
        <v>over</v>
      </c>
      <c r="L58" s="139">
        <f t="shared" si="14"/>
        <v>5</v>
      </c>
      <c r="M58" s="315">
        <f t="shared" si="10"/>
        <v>1.7079166666666665</v>
      </c>
      <c r="N58" s="679">
        <f t="shared" si="19"/>
        <v>6.7240813648293957E-2</v>
      </c>
    </row>
    <row r="59" spans="1:14">
      <c r="A59" s="11" t="s">
        <v>26</v>
      </c>
      <c r="B59" s="5">
        <v>3</v>
      </c>
      <c r="C59" s="355">
        <f t="shared" si="11"/>
        <v>4.333333333333333</v>
      </c>
      <c r="D59" s="11">
        <v>5</v>
      </c>
      <c r="E59" s="11">
        <f t="shared" si="16"/>
        <v>15</v>
      </c>
      <c r="F59" s="360">
        <f t="shared" si="17"/>
        <v>2.0766666666666667</v>
      </c>
      <c r="G59" s="315">
        <f t="shared" si="18"/>
        <v>8.1758530183727043E-2</v>
      </c>
      <c r="H59" s="4">
        <v>0.08</v>
      </c>
      <c r="I59" s="345" t="s">
        <v>22</v>
      </c>
      <c r="J59" s="13">
        <f>I!$E$34</f>
        <v>1.9881249999999993</v>
      </c>
      <c r="K59" s="365" t="str">
        <f t="shared" si="9"/>
        <v>under</v>
      </c>
      <c r="L59" s="139">
        <f t="shared" si="14"/>
        <v>4</v>
      </c>
      <c r="M59" s="315">
        <f t="shared" si="10"/>
        <v>2.3452083333333338</v>
      </c>
      <c r="N59" s="679">
        <f t="shared" si="19"/>
        <v>9.2331036745406853E-2</v>
      </c>
    </row>
    <row r="60" spans="1:14">
      <c r="A60" s="11" t="s">
        <v>239</v>
      </c>
      <c r="B60" s="5">
        <v>2</v>
      </c>
      <c r="C60" s="355">
        <f t="shared" si="11"/>
        <v>6.5</v>
      </c>
      <c r="D60" s="11">
        <v>5</v>
      </c>
      <c r="E60" s="11">
        <f t="shared" si="16"/>
        <v>10</v>
      </c>
      <c r="F60" s="360">
        <f t="shared" si="17"/>
        <v>3.16</v>
      </c>
      <c r="G60" s="315">
        <f t="shared" si="18"/>
        <v>0.12440944881889765</v>
      </c>
      <c r="H60" s="4">
        <v>0.125</v>
      </c>
      <c r="I60" s="345" t="s">
        <v>24</v>
      </c>
      <c r="J60" s="13">
        <f>J!$E$29</f>
        <v>3.4239393939393925</v>
      </c>
      <c r="K60" s="365" t="str">
        <f t="shared" si="9"/>
        <v>over</v>
      </c>
      <c r="L60" s="139">
        <f t="shared" si="14"/>
        <v>3</v>
      </c>
      <c r="M60" s="315">
        <f t="shared" si="10"/>
        <v>3.0760606060606075</v>
      </c>
      <c r="N60" s="679">
        <f t="shared" si="19"/>
        <v>0.12110474827010266</v>
      </c>
    </row>
    <row r="61" spans="1:14">
      <c r="A61" s="11" t="s">
        <v>89</v>
      </c>
      <c r="B61" s="5">
        <v>1</v>
      </c>
      <c r="C61" s="355">
        <f t="shared" si="11"/>
        <v>13</v>
      </c>
      <c r="D61" s="11">
        <v>4</v>
      </c>
      <c r="E61" s="11">
        <f t="shared" si="16"/>
        <v>4</v>
      </c>
      <c r="F61" s="360">
        <f t="shared" si="17"/>
        <v>6.41</v>
      </c>
      <c r="G61" s="315">
        <f t="shared" si="18"/>
        <v>0.25236220472440946</v>
      </c>
      <c r="H61" s="4">
        <v>0.25</v>
      </c>
      <c r="I61" s="345" t="s">
        <v>26</v>
      </c>
      <c r="J61" s="13">
        <f>K!$E$23</f>
        <v>6.6453333333333324</v>
      </c>
      <c r="K61" s="365" t="str">
        <f t="shared" si="9"/>
        <v>over</v>
      </c>
      <c r="L61" s="139">
        <f t="shared" ref="L61:L62" si="20">B61</f>
        <v>1</v>
      </c>
      <c r="M61" s="315">
        <f t="shared" si="10"/>
        <v>6.3546666666666676</v>
      </c>
      <c r="N61" s="679">
        <f t="shared" si="19"/>
        <v>0.25018372703412078</v>
      </c>
    </row>
    <row r="62" spans="1:14">
      <c r="A62" s="32" t="s">
        <v>245</v>
      </c>
      <c r="B62" s="2">
        <v>1</v>
      </c>
      <c r="C62" s="358">
        <f t="shared" si="11"/>
        <v>13</v>
      </c>
      <c r="D62" s="32">
        <v>1</v>
      </c>
      <c r="E62" s="32">
        <f t="shared" si="16"/>
        <v>1</v>
      </c>
      <c r="F62" s="361">
        <f t="shared" si="17"/>
        <v>6.41</v>
      </c>
      <c r="G62" s="338">
        <f t="shared" si="18"/>
        <v>0.25236220472440946</v>
      </c>
      <c r="H62" s="1">
        <v>0.25</v>
      </c>
      <c r="I62" s="357" t="s">
        <v>169</v>
      </c>
      <c r="J62" s="362">
        <f>Ks!$E$20</f>
        <v>6.7025000000000006</v>
      </c>
      <c r="K62" s="366" t="str">
        <f t="shared" si="9"/>
        <v>over</v>
      </c>
      <c r="L62" s="155">
        <f t="shared" si="20"/>
        <v>1</v>
      </c>
      <c r="M62" s="338">
        <f t="shared" si="10"/>
        <v>6.2974999999999994</v>
      </c>
      <c r="N62" s="680">
        <f t="shared" si="19"/>
        <v>0.24793307086614172</v>
      </c>
    </row>
    <row r="63" spans="1:14">
      <c r="D63">
        <f>SUM(D43:D62)</f>
        <v>71</v>
      </c>
      <c r="E63">
        <f>SUM(E43:E62)</f>
        <v>504</v>
      </c>
    </row>
    <row r="69" spans="1:12" s="447" customFormat="1" ht="15.75" thickBot="1"/>
    <row r="70" spans="1:12" ht="15.75" thickTop="1"/>
    <row r="71" spans="1:12" s="388" customFormat="1" ht="26.25">
      <c r="A71" s="388" t="s">
        <v>560</v>
      </c>
    </row>
    <row r="72" spans="1:12" s="388" customFormat="1" ht="26.25">
      <c r="A72" s="526" t="s">
        <v>399</v>
      </c>
      <c r="B72" s="526"/>
      <c r="C72" s="526"/>
      <c r="D72" s="526"/>
      <c r="E72" s="526"/>
      <c r="F72" s="526"/>
      <c r="G72" s="526"/>
      <c r="H72" s="526"/>
    </row>
    <row r="73" spans="1:12" s="388" customFormat="1" ht="26.25">
      <c r="A73" s="526"/>
      <c r="B73" s="526" t="s">
        <v>561</v>
      </c>
      <c r="C73" s="526"/>
      <c r="D73" s="526"/>
      <c r="E73" s="526"/>
      <c r="F73" s="526"/>
      <c r="G73" s="526"/>
      <c r="H73" s="526"/>
    </row>
    <row r="74" spans="1:12" s="388" customFormat="1" ht="26.25">
      <c r="A74" s="526"/>
      <c r="B74" s="526" t="s">
        <v>528</v>
      </c>
      <c r="C74" s="526"/>
      <c r="D74" s="526"/>
      <c r="E74" s="526"/>
      <c r="F74" s="526"/>
      <c r="G74" s="526"/>
      <c r="H74" s="526"/>
    </row>
    <row r="75" spans="1:12" s="388" customFormat="1" ht="26.25"/>
    <row r="76" spans="1:12" s="600" customFormat="1" ht="21">
      <c r="A76" s="526" t="s">
        <v>495</v>
      </c>
    </row>
    <row r="77" spans="1:12" s="600" customFormat="1" ht="15.75">
      <c r="A77" s="600" t="s">
        <v>483</v>
      </c>
      <c r="B77" s="600">
        <v>5.0000000000000001E-4</v>
      </c>
      <c r="C77" s="600" t="s">
        <v>237</v>
      </c>
    </row>
    <row r="78" spans="1:12" s="600" customFormat="1" ht="15.75">
      <c r="A78" s="600" t="s">
        <v>415</v>
      </c>
      <c r="B78" s="600">
        <v>13</v>
      </c>
      <c r="C78" s="600" t="s">
        <v>113</v>
      </c>
    </row>
    <row r="80" spans="1:12" ht="21">
      <c r="A80" s="778" t="s">
        <v>340</v>
      </c>
      <c r="B80" s="778"/>
      <c r="D80" s="529" t="s">
        <v>476</v>
      </c>
      <c r="E80" s="4"/>
      <c r="F80" s="591" t="s">
        <v>467</v>
      </c>
      <c r="G80" s="591"/>
      <c r="H80" s="324"/>
      <c r="I80" s="592" t="s">
        <v>468</v>
      </c>
      <c r="J80" s="324"/>
      <c r="K80" s="324"/>
      <c r="L80" s="439"/>
    </row>
    <row r="81" spans="1:12">
      <c r="A81" s="11" t="s">
        <v>246</v>
      </c>
      <c r="B81" s="436" t="s">
        <v>484</v>
      </c>
      <c r="C81" s="379"/>
      <c r="D81" s="324" t="s">
        <v>475</v>
      </c>
      <c r="E81" s="379" t="s">
        <v>477</v>
      </c>
      <c r="F81" s="324" t="s">
        <v>466</v>
      </c>
      <c r="G81" s="324" t="s">
        <v>485</v>
      </c>
      <c r="H81" s="324" t="s">
        <v>467</v>
      </c>
      <c r="I81" s="531" t="s">
        <v>473</v>
      </c>
      <c r="J81" s="324" t="s">
        <v>468</v>
      </c>
      <c r="K81" s="324" t="s">
        <v>504</v>
      </c>
      <c r="L81" s="439" t="s">
        <v>481</v>
      </c>
    </row>
    <row r="82" spans="1:12">
      <c r="A82" s="32"/>
      <c r="B82" s="437" t="s">
        <v>112</v>
      </c>
      <c r="C82" s="393" t="s">
        <v>113</v>
      </c>
      <c r="D82" s="368" t="s">
        <v>113</v>
      </c>
      <c r="E82" s="393" t="s">
        <v>113</v>
      </c>
      <c r="F82" s="368" t="s">
        <v>113</v>
      </c>
      <c r="G82" s="368" t="s">
        <v>486</v>
      </c>
      <c r="H82" s="368" t="s">
        <v>113</v>
      </c>
      <c r="I82" s="438"/>
      <c r="J82" s="368" t="s">
        <v>113</v>
      </c>
      <c r="K82" s="368"/>
      <c r="L82" s="439" t="s">
        <v>113</v>
      </c>
    </row>
    <row r="83" spans="1:12">
      <c r="B83" s="436"/>
      <c r="C83" s="648"/>
      <c r="D83" s="324"/>
      <c r="E83" s="379"/>
      <c r="F83" s="324"/>
      <c r="G83" s="324"/>
      <c r="H83" s="324"/>
      <c r="I83" s="531"/>
      <c r="J83" s="324"/>
      <c r="K83" s="324"/>
      <c r="L83" s="439"/>
    </row>
    <row r="84" spans="1:12">
      <c r="A84" s="66" t="s">
        <v>6</v>
      </c>
      <c r="B84" s="449">
        <v>2.4299999999999999E-2</v>
      </c>
      <c r="C84" s="439">
        <f>B84*25.4</f>
        <v>0.61721999999999988</v>
      </c>
      <c r="D84" s="324">
        <f>(C84+C86)/2</f>
        <v>0.59943999999999997</v>
      </c>
      <c r="E84" s="439">
        <f>C84</f>
        <v>0.61721999999999988</v>
      </c>
      <c r="F84" s="324">
        <f>(C84+J43)*B43</f>
        <v>13.015859999999996</v>
      </c>
      <c r="G84" s="324" t="str">
        <f>IF(F84&gt;$B$145,"yes","no")</f>
        <v>yes</v>
      </c>
      <c r="H84" s="324">
        <f>$B$78-F84</f>
        <v>-1.5859999999996433E-2</v>
      </c>
      <c r="I84" s="531" t="s">
        <v>469</v>
      </c>
      <c r="J84" s="324">
        <f>H84+C86</f>
        <v>0.56580000000000352</v>
      </c>
      <c r="K84" s="324" t="str">
        <f>IF(AND(J84&lt;E84, J84&gt;C86), "yes","no")</f>
        <v>no</v>
      </c>
      <c r="L84" s="594">
        <f>((J84-E84)/E84)*100</f>
        <v>-8.3309030815586596</v>
      </c>
    </row>
    <row r="85" spans="1:12">
      <c r="A85" s="66" t="s">
        <v>164</v>
      </c>
      <c r="B85" s="449">
        <v>2.4199999999999999E-2</v>
      </c>
      <c r="C85" s="439">
        <f t="shared" ref="C85:C103" si="21">B85*25.4</f>
        <v>0.61467999999999989</v>
      </c>
      <c r="D85" s="324">
        <f>(C85+C87)/2</f>
        <v>0.5918199999999999</v>
      </c>
      <c r="E85" s="439">
        <f t="shared" ref="E85:E88" si="22">C87</f>
        <v>0.56895999999999991</v>
      </c>
      <c r="F85" s="324">
        <f t="shared" ref="F85:F103" si="23">(C85+J44)*B44</f>
        <v>12.993598620689655</v>
      </c>
      <c r="G85" s="324" t="str">
        <f t="shared" ref="G85:G103" si="24">IF(F85&gt;$B$145,"yes","no")</f>
        <v>no</v>
      </c>
      <c r="H85" s="324">
        <f t="shared" ref="H85:H103" si="25">$B$78-F85</f>
        <v>6.4013793103452343E-3</v>
      </c>
      <c r="I85" s="531" t="s">
        <v>470</v>
      </c>
      <c r="J85" s="324">
        <f>H85+C87</f>
        <v>0.57536137931034514</v>
      </c>
      <c r="K85" s="324" t="str">
        <f>IF(AND(J85&lt;E85, J85&gt;C87), "yes","no")</f>
        <v>no</v>
      </c>
      <c r="L85" s="594">
        <f t="shared" ref="L85:L103" si="26">((J85-E85)/E85)*100</f>
        <v>1.1251018191692272</v>
      </c>
    </row>
    <row r="86" spans="1:12">
      <c r="A86" s="66" t="s">
        <v>9</v>
      </c>
      <c r="B86" s="449">
        <v>2.29E-2</v>
      </c>
      <c r="C86" s="439">
        <f t="shared" si="21"/>
        <v>0.58165999999999995</v>
      </c>
      <c r="D86" s="324">
        <f>(C86+C88)/2</f>
        <v>0.63118999999999992</v>
      </c>
      <c r="E86" s="439">
        <f t="shared" si="22"/>
        <v>0.68071999999999999</v>
      </c>
      <c r="F86" s="324">
        <f t="shared" si="23"/>
        <v>12.985374545454537</v>
      </c>
      <c r="G86" s="324" t="str">
        <f t="shared" si="24"/>
        <v>no</v>
      </c>
      <c r="H86" s="324">
        <f t="shared" si="25"/>
        <v>1.4625454545463157E-2</v>
      </c>
      <c r="I86" s="531" t="s">
        <v>471</v>
      </c>
      <c r="J86" s="324">
        <f>H86+C88</f>
        <v>0.69534545454546315</v>
      </c>
      <c r="K86" s="324" t="str">
        <f>IF(AND(J86&lt;=E86,J86&gt;=C86), "yes","no")</f>
        <v>no</v>
      </c>
      <c r="L86" s="594">
        <f t="shared" si="26"/>
        <v>2.1485272278562633</v>
      </c>
    </row>
    <row r="87" spans="1:12">
      <c r="A87" s="66" t="s">
        <v>165</v>
      </c>
      <c r="B87" s="449">
        <v>2.24E-2</v>
      </c>
      <c r="C87" s="439">
        <f t="shared" si="21"/>
        <v>0.56895999999999991</v>
      </c>
      <c r="D87" s="324">
        <f>(C87+C89)/2</f>
        <v>0.61848999999999998</v>
      </c>
      <c r="E87" s="439">
        <f t="shared" si="22"/>
        <v>0.66801999999999995</v>
      </c>
      <c r="F87" s="324">
        <f t="shared" si="23"/>
        <v>13.000060540540545</v>
      </c>
      <c r="G87" s="324" t="str">
        <f t="shared" si="24"/>
        <v>yes</v>
      </c>
      <c r="H87" s="324">
        <f t="shared" si="25"/>
        <v>-6.0540540545162003E-5</v>
      </c>
      <c r="I87" s="602" t="s">
        <v>472</v>
      </c>
      <c r="J87" s="324">
        <f>H87+C89</f>
        <v>0.66795945945945479</v>
      </c>
      <c r="K87" s="324" t="str">
        <f t="shared" ref="K87:K101" si="27">IF(AND(J87&lt;=E87,J87&gt;=C87), "yes","no")</f>
        <v>yes</v>
      </c>
      <c r="L87" s="594">
        <f t="shared" si="26"/>
        <v>-9.0626838335921087E-3</v>
      </c>
    </row>
    <row r="88" spans="1:12">
      <c r="A88" s="66" t="s">
        <v>11</v>
      </c>
      <c r="B88" s="449">
        <v>2.6800000000000001E-2</v>
      </c>
      <c r="C88" s="439">
        <f t="shared" si="21"/>
        <v>0.68071999999999999</v>
      </c>
      <c r="D88" s="324">
        <f>(C88+C90)/2</f>
        <v>0.74041000000000001</v>
      </c>
      <c r="E88" s="439">
        <f t="shared" si="22"/>
        <v>0.80009999999999992</v>
      </c>
      <c r="F88" s="324">
        <f t="shared" si="23"/>
        <v>12.992919999999991</v>
      </c>
      <c r="G88" s="324" t="str">
        <f t="shared" si="24"/>
        <v>no</v>
      </c>
      <c r="H88" s="324">
        <f t="shared" si="25"/>
        <v>7.080000000009079E-3</v>
      </c>
      <c r="I88" s="531" t="s">
        <v>287</v>
      </c>
      <c r="J88" s="324">
        <f>H88+C90</f>
        <v>0.807180000000009</v>
      </c>
      <c r="K88" s="324" t="str">
        <f t="shared" si="27"/>
        <v>no</v>
      </c>
      <c r="L88" s="594">
        <f t="shared" si="26"/>
        <v>0.88488938882753143</v>
      </c>
    </row>
    <row r="89" spans="1:12">
      <c r="A89" s="66" t="s">
        <v>226</v>
      </c>
      <c r="B89" s="449">
        <v>2.63E-2</v>
      </c>
      <c r="C89" s="439">
        <f t="shared" si="21"/>
        <v>0.66801999999999995</v>
      </c>
      <c r="D89" s="324">
        <f>(C89+C90)/2</f>
        <v>0.73405999999999993</v>
      </c>
      <c r="E89" s="439">
        <f>C90</f>
        <v>0.80009999999999992</v>
      </c>
      <c r="F89" s="324">
        <f t="shared" si="23"/>
        <v>13.006382162162168</v>
      </c>
      <c r="G89" s="324" t="str">
        <f t="shared" si="24"/>
        <v>yes</v>
      </c>
      <c r="H89" s="324">
        <f t="shared" si="25"/>
        <v>-6.3821621621684699E-3</v>
      </c>
      <c r="I89" s="531" t="s">
        <v>287</v>
      </c>
      <c r="J89" s="324">
        <f>H89+C90</f>
        <v>0.79371783783783145</v>
      </c>
      <c r="K89" s="324" t="str">
        <f t="shared" si="27"/>
        <v>yes</v>
      </c>
      <c r="L89" s="594">
        <f t="shared" si="26"/>
        <v>-0.79767056145087745</v>
      </c>
    </row>
    <row r="90" spans="1:12">
      <c r="A90" s="11" t="s">
        <v>13</v>
      </c>
      <c r="B90" s="449">
        <v>3.15E-2</v>
      </c>
      <c r="C90" s="439">
        <f t="shared" si="21"/>
        <v>0.80009999999999992</v>
      </c>
      <c r="D90" s="324">
        <f>(C90+C91)/2</f>
        <v>0.80644999999999989</v>
      </c>
      <c r="E90" s="439">
        <f t="shared" ref="E90:E92" si="28">C91</f>
        <v>0.81279999999999997</v>
      </c>
      <c r="F90" s="324">
        <f t="shared" si="23"/>
        <v>13.005545454545446</v>
      </c>
      <c r="G90" s="324" t="str">
        <f t="shared" si="24"/>
        <v>yes</v>
      </c>
      <c r="H90" s="324">
        <f t="shared" si="25"/>
        <v>-5.5454545454463045E-3</v>
      </c>
      <c r="I90" s="531" t="s">
        <v>288</v>
      </c>
      <c r="J90" s="324">
        <f>H90+C91</f>
        <v>0.80725454545455366</v>
      </c>
      <c r="K90" s="324" t="str">
        <f t="shared" si="27"/>
        <v>yes</v>
      </c>
      <c r="L90" s="594">
        <f t="shared" si="26"/>
        <v>-0.68226556907557878</v>
      </c>
    </row>
    <row r="91" spans="1:12">
      <c r="A91" s="11" t="s">
        <v>15</v>
      </c>
      <c r="B91" s="449">
        <v>3.2000000000000001E-2</v>
      </c>
      <c r="C91" s="439">
        <f t="shared" si="21"/>
        <v>0.81279999999999997</v>
      </c>
      <c r="D91" s="324">
        <f>(C91+C92)/2</f>
        <v>0.83565999999999985</v>
      </c>
      <c r="E91" s="439">
        <f t="shared" si="28"/>
        <v>0.85851999999999984</v>
      </c>
      <c r="F91" s="324">
        <f t="shared" si="23"/>
        <v>12.993699999999997</v>
      </c>
      <c r="G91" s="324" t="str">
        <f t="shared" si="24"/>
        <v>no</v>
      </c>
      <c r="H91" s="324">
        <f t="shared" si="25"/>
        <v>6.3000000000030809E-3</v>
      </c>
      <c r="I91" s="531" t="s">
        <v>289</v>
      </c>
      <c r="J91" s="324">
        <f>H91+C92</f>
        <v>0.86482000000000292</v>
      </c>
      <c r="K91" s="324" t="str">
        <f t="shared" si="27"/>
        <v>no</v>
      </c>
      <c r="L91" s="594">
        <f t="shared" si="26"/>
        <v>0.73382099426956648</v>
      </c>
    </row>
    <row r="92" spans="1:12">
      <c r="A92" s="11" t="s">
        <v>17</v>
      </c>
      <c r="B92" s="449">
        <v>3.3799999999999997E-2</v>
      </c>
      <c r="C92" s="439">
        <f t="shared" si="21"/>
        <v>0.85851999999999984</v>
      </c>
      <c r="D92" s="324">
        <f>(C92+C93)/2</f>
        <v>0.91185999999999989</v>
      </c>
      <c r="E92" s="439">
        <f t="shared" si="28"/>
        <v>0.96519999999999995</v>
      </c>
      <c r="F92" s="324">
        <f t="shared" si="23"/>
        <v>13.010064761904761</v>
      </c>
      <c r="G92" s="324" t="str">
        <f t="shared" si="24"/>
        <v>yes</v>
      </c>
      <c r="H92" s="324">
        <f t="shared" si="25"/>
        <v>-1.0064761904761355E-2</v>
      </c>
      <c r="I92" s="531" t="s">
        <v>292</v>
      </c>
      <c r="J92" s="324">
        <f>H92+C93</f>
        <v>0.95513523809523859</v>
      </c>
      <c r="K92" s="324" t="str">
        <f t="shared" si="27"/>
        <v>yes</v>
      </c>
      <c r="L92" s="594">
        <f t="shared" si="26"/>
        <v>-1.0427643912931366</v>
      </c>
    </row>
    <row r="93" spans="1:12">
      <c r="A93" s="11" t="s">
        <v>19</v>
      </c>
      <c r="B93" s="449">
        <v>3.7999999999999999E-2</v>
      </c>
      <c r="C93" s="439">
        <f t="shared" si="21"/>
        <v>0.96519999999999995</v>
      </c>
      <c r="D93" s="324">
        <f>(C93+C94)/2</f>
        <v>0.97027999999999992</v>
      </c>
      <c r="E93" s="439">
        <f>C95</f>
        <v>1.1429999999999998</v>
      </c>
      <c r="F93" s="324">
        <f t="shared" si="23"/>
        <v>13.006580180180165</v>
      </c>
      <c r="G93" s="324" t="str">
        <f t="shared" si="24"/>
        <v>yes</v>
      </c>
      <c r="H93" s="324">
        <f t="shared" si="25"/>
        <v>-6.5801801801654847E-3</v>
      </c>
      <c r="I93" s="531" t="s">
        <v>290</v>
      </c>
      <c r="J93" s="324">
        <f>H93+C95</f>
        <v>1.1364198198198343</v>
      </c>
      <c r="K93" s="324" t="str">
        <f t="shared" si="27"/>
        <v>yes</v>
      </c>
      <c r="L93" s="594">
        <f t="shared" si="26"/>
        <v>-0.57569380403897508</v>
      </c>
    </row>
    <row r="94" spans="1:12">
      <c r="A94" s="11" t="s">
        <v>168</v>
      </c>
      <c r="B94" s="449">
        <v>3.8399999999999997E-2</v>
      </c>
      <c r="C94" s="439">
        <f t="shared" si="21"/>
        <v>0.97535999999999989</v>
      </c>
      <c r="D94" s="324">
        <f>(C94+C96)/2</f>
        <v>1.0579099999999999</v>
      </c>
      <c r="E94" s="439">
        <f t="shared" ref="E94:E97" si="29">C96</f>
        <v>1.14046</v>
      </c>
      <c r="F94" s="324">
        <f t="shared" si="23"/>
        <v>13.001931764705883</v>
      </c>
      <c r="G94" s="324" t="str">
        <f t="shared" si="24"/>
        <v>yes</v>
      </c>
      <c r="H94" s="324">
        <f t="shared" si="25"/>
        <v>-1.9317647058834098E-3</v>
      </c>
      <c r="I94" s="531" t="s">
        <v>291</v>
      </c>
      <c r="J94" s="324">
        <f>H94+C96</f>
        <v>1.1385282352941166</v>
      </c>
      <c r="K94" s="324" t="str">
        <f t="shared" si="27"/>
        <v>yes</v>
      </c>
      <c r="L94" s="594">
        <f t="shared" si="26"/>
        <v>-0.16938469616500446</v>
      </c>
    </row>
    <row r="95" spans="1:12">
      <c r="A95" s="11" t="s">
        <v>21</v>
      </c>
      <c r="B95" s="449">
        <v>4.4999999999999998E-2</v>
      </c>
      <c r="C95" s="439">
        <f t="shared" si="21"/>
        <v>1.1429999999999998</v>
      </c>
      <c r="D95" s="324">
        <f>(C95+C97)/2</f>
        <v>1.2115799999999999</v>
      </c>
      <c r="E95" s="439">
        <f t="shared" si="29"/>
        <v>1.28016</v>
      </c>
      <c r="F95" s="324">
        <f t="shared" si="23"/>
        <v>13.001200000000001</v>
      </c>
      <c r="G95" s="324" t="str">
        <f t="shared" si="24"/>
        <v>yes</v>
      </c>
      <c r="H95" s="324">
        <f t="shared" si="25"/>
        <v>-1.200000000000756E-3</v>
      </c>
      <c r="I95" s="531" t="s">
        <v>293</v>
      </c>
      <c r="J95" s="324">
        <f>H95+C97</f>
        <v>1.2789599999999992</v>
      </c>
      <c r="K95" s="324" t="str">
        <f t="shared" si="27"/>
        <v>yes</v>
      </c>
      <c r="L95" s="594">
        <f t="shared" si="26"/>
        <v>-9.373828271471972E-2</v>
      </c>
    </row>
    <row r="96" spans="1:12">
      <c r="A96" s="11" t="s">
        <v>243</v>
      </c>
      <c r="B96" s="449">
        <v>4.4900000000000002E-2</v>
      </c>
      <c r="C96" s="439">
        <f t="shared" si="21"/>
        <v>1.14046</v>
      </c>
      <c r="D96" s="324">
        <f>(C96+C98)/2</f>
        <v>1.22936</v>
      </c>
      <c r="E96" s="439">
        <f t="shared" si="29"/>
        <v>1.31826</v>
      </c>
      <c r="F96" s="324">
        <f t="shared" si="23"/>
        <v>13.001444210526317</v>
      </c>
      <c r="G96" s="324" t="str">
        <f t="shared" si="24"/>
        <v>yes</v>
      </c>
      <c r="H96" s="324">
        <f t="shared" si="25"/>
        <v>-1.4442105263174909E-3</v>
      </c>
      <c r="I96" s="531" t="s">
        <v>294</v>
      </c>
      <c r="J96" s="324">
        <f>H96+C98</f>
        <v>1.3168157894736825</v>
      </c>
      <c r="K96" s="324" t="str">
        <f t="shared" si="27"/>
        <v>yes</v>
      </c>
      <c r="L96" s="594">
        <f t="shared" si="26"/>
        <v>-0.10955430084486298</v>
      </c>
    </row>
    <row r="97" spans="1:12">
      <c r="A97" s="11" t="s">
        <v>22</v>
      </c>
      <c r="B97" s="449">
        <v>5.04E-2</v>
      </c>
      <c r="C97" s="439">
        <f t="shared" si="21"/>
        <v>1.28016</v>
      </c>
      <c r="D97" s="324">
        <f>(C97+C99)/2</f>
        <v>1.4935199999999997</v>
      </c>
      <c r="E97" s="439">
        <f t="shared" si="29"/>
        <v>1.7068799999999997</v>
      </c>
      <c r="F97" s="324">
        <f t="shared" si="23"/>
        <v>13.001196825396828</v>
      </c>
      <c r="G97" s="324" t="str">
        <f t="shared" si="24"/>
        <v>yes</v>
      </c>
      <c r="H97" s="324">
        <f t="shared" si="25"/>
        <v>-1.1968253968284159E-3</v>
      </c>
      <c r="I97" s="531" t="s">
        <v>295</v>
      </c>
      <c r="J97" s="324">
        <f>H97+C99</f>
        <v>1.7056831746031713</v>
      </c>
      <c r="K97" s="324" t="str">
        <f t="shared" si="27"/>
        <v>yes</v>
      </c>
      <c r="L97" s="594">
        <f t="shared" si="26"/>
        <v>-7.0117723379992503E-2</v>
      </c>
    </row>
    <row r="98" spans="1:12">
      <c r="A98" s="11" t="s">
        <v>244</v>
      </c>
      <c r="B98" s="449">
        <v>5.1900000000000002E-2</v>
      </c>
      <c r="C98" s="439">
        <f t="shared" si="21"/>
        <v>1.31826</v>
      </c>
      <c r="D98" s="324">
        <f>(C98+C99)/2</f>
        <v>1.5125699999999997</v>
      </c>
      <c r="E98" s="439">
        <f>C99</f>
        <v>1.7068799999999997</v>
      </c>
      <c r="F98" s="324">
        <f t="shared" si="23"/>
        <v>13.002014285714289</v>
      </c>
      <c r="G98" s="324" t="str">
        <f t="shared" si="24"/>
        <v>yes</v>
      </c>
      <c r="H98" s="324">
        <f t="shared" si="25"/>
        <v>-2.0142857142886328E-3</v>
      </c>
      <c r="I98" s="531" t="s">
        <v>295</v>
      </c>
      <c r="J98" s="324">
        <f>H98+C99</f>
        <v>1.7048657142857111</v>
      </c>
      <c r="K98" s="324" t="str">
        <f t="shared" si="27"/>
        <v>yes</v>
      </c>
      <c r="L98" s="594">
        <f t="shared" si="26"/>
        <v>-0.11800980234630631</v>
      </c>
    </row>
    <row r="99" spans="1:12">
      <c r="A99" s="11" t="s">
        <v>24</v>
      </c>
      <c r="B99" s="449">
        <v>6.7199999999999996E-2</v>
      </c>
      <c r="C99" s="439">
        <f t="shared" si="21"/>
        <v>1.7068799999999997</v>
      </c>
      <c r="D99" s="324">
        <f>(C99+C100)/2</f>
        <v>2.0256499999999997</v>
      </c>
      <c r="E99" s="439">
        <f t="shared" ref="E99:E101" si="30">C100</f>
        <v>2.3444199999999995</v>
      </c>
      <c r="F99" s="324">
        <f t="shared" si="23"/>
        <v>12.995853333333333</v>
      </c>
      <c r="G99" s="324" t="str">
        <f t="shared" si="24"/>
        <v>no</v>
      </c>
      <c r="H99" s="324">
        <f t="shared" si="25"/>
        <v>4.146666666667187E-3</v>
      </c>
      <c r="I99" s="531" t="s">
        <v>296</v>
      </c>
      <c r="J99" s="324">
        <f>H99+C100</f>
        <v>2.3485666666666667</v>
      </c>
      <c r="K99" s="324" t="str">
        <f t="shared" si="27"/>
        <v>no</v>
      </c>
      <c r="L99" s="594">
        <f t="shared" si="26"/>
        <v>0.17687388209737109</v>
      </c>
    </row>
    <row r="100" spans="1:12">
      <c r="A100" s="11" t="s">
        <v>26</v>
      </c>
      <c r="B100" s="449">
        <v>9.2299999999999993E-2</v>
      </c>
      <c r="C100" s="439">
        <f t="shared" si="21"/>
        <v>2.3444199999999995</v>
      </c>
      <c r="D100" s="324">
        <f>(C100+C101)/2</f>
        <v>2.7101799999999994</v>
      </c>
      <c r="E100" s="439">
        <f t="shared" si="30"/>
        <v>3.0759399999999997</v>
      </c>
      <c r="F100" s="324">
        <f t="shared" si="23"/>
        <v>12.997634999999995</v>
      </c>
      <c r="G100" s="324" t="str">
        <f t="shared" si="24"/>
        <v>no</v>
      </c>
      <c r="H100" s="324">
        <f t="shared" si="25"/>
        <v>2.3650000000046134E-3</v>
      </c>
      <c r="I100" s="531" t="s">
        <v>297</v>
      </c>
      <c r="J100" s="324">
        <f>H100+C101</f>
        <v>3.0783050000000043</v>
      </c>
      <c r="K100" s="324" t="str">
        <f t="shared" si="27"/>
        <v>no</v>
      </c>
      <c r="L100" s="594">
        <f t="shared" si="26"/>
        <v>7.6887065417550859E-2</v>
      </c>
    </row>
    <row r="101" spans="1:12">
      <c r="A101" s="11" t="s">
        <v>239</v>
      </c>
      <c r="B101" s="449">
        <v>0.1211</v>
      </c>
      <c r="C101" s="439">
        <f t="shared" si="21"/>
        <v>3.0759399999999997</v>
      </c>
      <c r="D101" s="324">
        <f>(C101+C102)/2</f>
        <v>4.7155099999999992</v>
      </c>
      <c r="E101" s="439">
        <f t="shared" si="30"/>
        <v>6.3550799999999992</v>
      </c>
      <c r="F101" s="324">
        <f t="shared" si="23"/>
        <v>12.999758787878784</v>
      </c>
      <c r="G101" s="324" t="str">
        <f t="shared" si="24"/>
        <v>no</v>
      </c>
      <c r="H101" s="324">
        <f t="shared" si="25"/>
        <v>2.4121212121563929E-4</v>
      </c>
      <c r="I101" s="531" t="s">
        <v>298</v>
      </c>
      <c r="J101" s="324">
        <f>H101+C102</f>
        <v>6.3553212121212148</v>
      </c>
      <c r="K101" s="324" t="str">
        <f t="shared" si="27"/>
        <v>no</v>
      </c>
      <c r="L101" s="594">
        <f t="shared" si="26"/>
        <v>3.7955796184412994E-3</v>
      </c>
    </row>
    <row r="102" spans="1:12">
      <c r="A102" s="11" t="s">
        <v>89</v>
      </c>
      <c r="B102" s="449">
        <v>0.25019999999999998</v>
      </c>
      <c r="C102" s="439">
        <f t="shared" si="21"/>
        <v>6.3550799999999992</v>
      </c>
      <c r="D102" s="324">
        <f>(C102+C84)/2</f>
        <v>3.4861499999999994</v>
      </c>
      <c r="E102" s="439">
        <f>C102</f>
        <v>6.3550799999999992</v>
      </c>
      <c r="F102" s="324">
        <f t="shared" si="23"/>
        <v>13.000413333333331</v>
      </c>
      <c r="G102" s="324" t="str">
        <f t="shared" si="24"/>
        <v>yes</v>
      </c>
      <c r="H102" s="324">
        <f t="shared" si="25"/>
        <v>-4.1333333333071209E-4</v>
      </c>
      <c r="I102" s="531" t="s">
        <v>299</v>
      </c>
      <c r="J102" s="324">
        <f>H102+C84</f>
        <v>0.61680666666666917</v>
      </c>
      <c r="K102" s="324" t="str">
        <f>IF(AND(J102&lt;=E102,J102&gt;=C85), "yes","no")</f>
        <v>yes</v>
      </c>
      <c r="L102" s="594">
        <f t="shared" si="26"/>
        <v>-90.294273767337799</v>
      </c>
    </row>
    <row r="103" spans="1:12">
      <c r="A103" s="32" t="s">
        <v>245</v>
      </c>
      <c r="B103" s="449">
        <v>0.24790000000000001</v>
      </c>
      <c r="C103" s="440">
        <f t="shared" si="21"/>
        <v>6.2966600000000001</v>
      </c>
      <c r="D103" s="368">
        <f>(C103+C85)/2</f>
        <v>3.45567</v>
      </c>
      <c r="E103" s="440">
        <f>C103</f>
        <v>6.2966600000000001</v>
      </c>
      <c r="F103" s="324">
        <f t="shared" si="23"/>
        <v>12.99916</v>
      </c>
      <c r="G103" s="368" t="str">
        <f t="shared" si="24"/>
        <v>no</v>
      </c>
      <c r="H103" s="324">
        <f t="shared" si="25"/>
        <v>8.4000000000017394E-4</v>
      </c>
      <c r="I103" s="438" t="s">
        <v>300</v>
      </c>
      <c r="J103" s="368">
        <f>H103+C85</f>
        <v>0.61552000000000007</v>
      </c>
      <c r="K103" s="368" t="str">
        <f>IF(AND(J103&lt;=E103,J103&gt;=C86), "yes","no")</f>
        <v>yes</v>
      </c>
      <c r="L103" s="601">
        <f t="shared" si="26"/>
        <v>-90.2246587873571</v>
      </c>
    </row>
    <row r="104" spans="1:12">
      <c r="A104" s="11"/>
      <c r="B104" s="324"/>
      <c r="C104" s="324"/>
      <c r="D104" s="324"/>
      <c r="E104" s="324"/>
      <c r="F104" s="324"/>
      <c r="G104" s="324"/>
      <c r="H104" s="324"/>
      <c r="I104" s="324"/>
      <c r="J104" s="324"/>
      <c r="K104" s="324"/>
      <c r="L104" s="377"/>
    </row>
    <row r="105" spans="1:12">
      <c r="A105" s="11"/>
      <c r="B105" s="324"/>
      <c r="C105" s="324"/>
      <c r="D105" s="324"/>
      <c r="E105" s="324"/>
      <c r="F105" s="324"/>
      <c r="G105" s="324"/>
      <c r="H105" s="324"/>
      <c r="I105" s="324"/>
      <c r="J105" s="324"/>
      <c r="K105" s="324"/>
      <c r="L105" s="377"/>
    </row>
    <row r="106" spans="1:12" ht="21">
      <c r="A106" s="526" t="s">
        <v>562</v>
      </c>
      <c r="B106" s="600"/>
      <c r="C106" s="600"/>
      <c r="D106" s="600"/>
      <c r="E106" s="600"/>
      <c r="F106" s="600"/>
      <c r="G106" s="600"/>
      <c r="H106" s="600"/>
      <c r="I106" s="600"/>
      <c r="J106" s="600"/>
      <c r="K106" s="600"/>
      <c r="L106" s="600"/>
    </row>
    <row r="107" spans="1:12" ht="15.75">
      <c r="A107" s="600" t="s">
        <v>483</v>
      </c>
      <c r="B107" s="600">
        <v>5.0000000000000001E-4</v>
      </c>
      <c r="C107" s="600" t="s">
        <v>237</v>
      </c>
      <c r="D107" s="600"/>
      <c r="E107" s="600"/>
      <c r="F107" s="600"/>
      <c r="G107" s="600"/>
      <c r="H107" s="600"/>
      <c r="I107" s="600"/>
      <c r="J107" s="600"/>
      <c r="K107" s="600"/>
      <c r="L107" s="600"/>
    </row>
    <row r="108" spans="1:12" ht="15.75">
      <c r="A108" s="600" t="s">
        <v>415</v>
      </c>
      <c r="B108" s="600">
        <v>13</v>
      </c>
      <c r="C108" s="600" t="s">
        <v>113</v>
      </c>
      <c r="D108" s="600"/>
      <c r="E108" s="600"/>
      <c r="F108" s="600"/>
      <c r="G108" s="600"/>
      <c r="H108" s="600"/>
      <c r="I108" s="600"/>
      <c r="J108" s="600"/>
      <c r="K108" s="600"/>
      <c r="L108" s="600"/>
    </row>
    <row r="110" spans="1:12" ht="21">
      <c r="A110" s="778" t="s">
        <v>340</v>
      </c>
      <c r="B110" s="778"/>
      <c r="D110" s="529" t="s">
        <v>476</v>
      </c>
      <c r="E110" s="4"/>
      <c r="F110" s="591" t="s">
        <v>467</v>
      </c>
      <c r="G110" s="591"/>
      <c r="H110" s="324"/>
      <c r="I110" s="592" t="s">
        <v>468</v>
      </c>
      <c r="J110" s="324"/>
      <c r="K110" s="324"/>
      <c r="L110" s="439"/>
    </row>
    <row r="111" spans="1:12">
      <c r="A111" s="11" t="s">
        <v>246</v>
      </c>
      <c r="B111" s="436" t="s">
        <v>484</v>
      </c>
      <c r="C111" s="379"/>
      <c r="D111" s="324" t="s">
        <v>475</v>
      </c>
      <c r="E111" s="379" t="s">
        <v>477</v>
      </c>
      <c r="F111" s="324" t="s">
        <v>466</v>
      </c>
      <c r="G111" s="324" t="s">
        <v>485</v>
      </c>
      <c r="H111" s="324" t="s">
        <v>467</v>
      </c>
      <c r="I111" s="531" t="s">
        <v>473</v>
      </c>
      <c r="J111" s="324" t="s">
        <v>468</v>
      </c>
      <c r="K111" s="324" t="s">
        <v>504</v>
      </c>
      <c r="L111" s="439" t="s">
        <v>481</v>
      </c>
    </row>
    <row r="112" spans="1:12">
      <c r="A112" s="32"/>
      <c r="B112" s="437" t="s">
        <v>112</v>
      </c>
      <c r="C112" s="393" t="s">
        <v>113</v>
      </c>
      <c r="D112" s="368" t="s">
        <v>113</v>
      </c>
      <c r="E112" s="393" t="s">
        <v>113</v>
      </c>
      <c r="F112" s="368" t="s">
        <v>113</v>
      </c>
      <c r="G112" s="368" t="s">
        <v>486</v>
      </c>
      <c r="H112" s="368" t="s">
        <v>113</v>
      </c>
      <c r="I112" s="438"/>
      <c r="J112" s="368" t="s">
        <v>113</v>
      </c>
      <c r="K112" s="368"/>
      <c r="L112" s="439" t="s">
        <v>113</v>
      </c>
    </row>
    <row r="113" spans="1:12">
      <c r="B113" s="436"/>
      <c r="C113" s="677"/>
      <c r="D113" s="324"/>
      <c r="E113" s="379"/>
      <c r="F113" s="324"/>
      <c r="G113" s="324"/>
      <c r="H113" s="324"/>
      <c r="I113" s="531"/>
      <c r="J113" s="324"/>
      <c r="K113" s="324"/>
      <c r="L113" s="439"/>
    </row>
    <row r="114" spans="1:12">
      <c r="A114" s="66" t="s">
        <v>6</v>
      </c>
      <c r="B114" s="449">
        <v>2.4E-2</v>
      </c>
      <c r="C114" s="439">
        <f>B114*25.4</f>
        <v>0.60960000000000003</v>
      </c>
      <c r="D114" s="324">
        <f>(C114+C116)/2</f>
        <v>0.58928000000000003</v>
      </c>
      <c r="E114" s="439">
        <f>C114</f>
        <v>0.60960000000000003</v>
      </c>
      <c r="F114" s="324">
        <f>(C114+J43)*B43</f>
        <v>12.916799999999999</v>
      </c>
      <c r="G114" s="324" t="str">
        <f>IF(F114&gt;$B$145,"yes","no")</f>
        <v>no</v>
      </c>
      <c r="H114" s="324">
        <f>$B$108-F114</f>
        <v>8.3200000000001495E-2</v>
      </c>
      <c r="I114" s="531" t="s">
        <v>469</v>
      </c>
      <c r="J114" s="324">
        <f>H114+C116</f>
        <v>0.65216000000000141</v>
      </c>
      <c r="K114" s="324" t="str">
        <f>IF(AND(J114&lt;E114, J114&gt;C116), "yes","no")</f>
        <v>no</v>
      </c>
      <c r="L114" s="594">
        <f>((J114-E114)/E114)*100</f>
        <v>6.981627296588151</v>
      </c>
    </row>
    <row r="115" spans="1:12">
      <c r="A115" s="66" t="s">
        <v>164</v>
      </c>
      <c r="B115" s="449">
        <v>2.4E-2</v>
      </c>
      <c r="C115" s="439">
        <f t="shared" ref="C115:C133" si="31">B115*25.4</f>
        <v>0.60960000000000003</v>
      </c>
      <c r="D115" s="324">
        <f>(C115+C117)/2</f>
        <v>0.58928000000000003</v>
      </c>
      <c r="E115" s="439">
        <f t="shared" ref="E115:E118" si="32">C117</f>
        <v>0.56895999999999991</v>
      </c>
      <c r="F115" s="324">
        <f t="shared" ref="F115:F133" si="33">(C115+J44)*B44</f>
        <v>12.927558620689656</v>
      </c>
      <c r="G115" s="324" t="str">
        <f t="shared" ref="G115:G133" si="34">IF(F115&gt;$B$145,"yes","no")</f>
        <v>no</v>
      </c>
      <c r="H115" s="324">
        <f t="shared" ref="H115:H133" si="35">$B$108-F115</f>
        <v>7.2441379310344445E-2</v>
      </c>
      <c r="I115" s="531" t="s">
        <v>470</v>
      </c>
      <c r="J115" s="324">
        <f>H115+C117</f>
        <v>0.64140137931034436</v>
      </c>
      <c r="K115" s="324" t="str">
        <f>IF(AND(J115&lt;E115, J115&gt;C117), "yes","no")</f>
        <v>no</v>
      </c>
      <c r="L115" s="594">
        <f t="shared" ref="L115:L133" si="36">((J115-E115)/E115)*100</f>
        <v>12.732244676311947</v>
      </c>
    </row>
    <row r="116" spans="1:12">
      <c r="A116" s="66" t="s">
        <v>9</v>
      </c>
      <c r="B116" s="449">
        <v>2.24E-2</v>
      </c>
      <c r="C116" s="439">
        <f t="shared" si="31"/>
        <v>0.56895999999999991</v>
      </c>
      <c r="D116" s="324">
        <f>(C116+C118)/2</f>
        <v>0.62483999999999995</v>
      </c>
      <c r="E116" s="439">
        <f t="shared" si="32"/>
        <v>0.68071999999999999</v>
      </c>
      <c r="F116" s="324">
        <f t="shared" si="33"/>
        <v>12.832974545454537</v>
      </c>
      <c r="G116" s="324" t="str">
        <f t="shared" si="34"/>
        <v>no</v>
      </c>
      <c r="H116" s="324">
        <f t="shared" si="35"/>
        <v>0.16702545454546325</v>
      </c>
      <c r="I116" s="531" t="s">
        <v>471</v>
      </c>
      <c r="J116" s="324">
        <f>H116+C118</f>
        <v>0.84774545454546324</v>
      </c>
      <c r="K116" s="324" t="str">
        <f>IF(AND(J116&lt;=E116,J116&gt;=C116), "yes","no")</f>
        <v>no</v>
      </c>
      <c r="L116" s="594">
        <f t="shared" si="36"/>
        <v>24.536586929348815</v>
      </c>
    </row>
    <row r="117" spans="1:12">
      <c r="A117" s="66" t="s">
        <v>165</v>
      </c>
      <c r="B117" s="449">
        <v>2.24E-2</v>
      </c>
      <c r="C117" s="439">
        <f t="shared" si="31"/>
        <v>0.56895999999999991</v>
      </c>
      <c r="D117" s="324">
        <f>(C117+C119)/2</f>
        <v>0.61721999999999988</v>
      </c>
      <c r="E117" s="439">
        <f t="shared" si="32"/>
        <v>0.66547999999999996</v>
      </c>
      <c r="F117" s="324">
        <f t="shared" si="33"/>
        <v>13.000060540540545</v>
      </c>
      <c r="G117" s="324" t="str">
        <f t="shared" si="34"/>
        <v>yes</v>
      </c>
      <c r="H117" s="324">
        <f t="shared" si="35"/>
        <v>-6.0540540545162003E-5</v>
      </c>
      <c r="I117" s="602" t="s">
        <v>472</v>
      </c>
      <c r="J117" s="324">
        <f>H117+C119</f>
        <v>0.6654194594594548</v>
      </c>
      <c r="K117" s="324" t="str">
        <f t="shared" ref="K117:K131" si="37">IF(AND(J117&lt;=E117,J117&gt;=C117), "yes","no")</f>
        <v>yes</v>
      </c>
      <c r="L117" s="594">
        <f t="shared" si="36"/>
        <v>-9.0972742299035292E-3</v>
      </c>
    </row>
    <row r="118" spans="1:12">
      <c r="A118" s="66" t="s">
        <v>11</v>
      </c>
      <c r="B118" s="449">
        <v>2.6800000000000001E-2</v>
      </c>
      <c r="C118" s="439">
        <f t="shared" si="31"/>
        <v>0.68071999999999999</v>
      </c>
      <c r="D118" s="324">
        <f>(C118+C120)/2</f>
        <v>0.73913999999999991</v>
      </c>
      <c r="E118" s="439">
        <f t="shared" si="32"/>
        <v>0.79755999999999994</v>
      </c>
      <c r="F118" s="324">
        <f t="shared" si="33"/>
        <v>12.992919999999991</v>
      </c>
      <c r="G118" s="324" t="str">
        <f t="shared" si="34"/>
        <v>no</v>
      </c>
      <c r="H118" s="324">
        <f t="shared" si="35"/>
        <v>7.080000000009079E-3</v>
      </c>
      <c r="I118" s="531" t="s">
        <v>287</v>
      </c>
      <c r="J118" s="324">
        <f>H118+C120</f>
        <v>0.80464000000000901</v>
      </c>
      <c r="K118" s="324" t="str">
        <f t="shared" si="37"/>
        <v>no</v>
      </c>
      <c r="L118" s="594">
        <f t="shared" si="36"/>
        <v>0.88770750790023067</v>
      </c>
    </row>
    <row r="119" spans="1:12">
      <c r="A119" s="66" t="s">
        <v>226</v>
      </c>
      <c r="B119" s="449">
        <v>2.6200000000000001E-2</v>
      </c>
      <c r="C119" s="439">
        <f t="shared" si="31"/>
        <v>0.66547999999999996</v>
      </c>
      <c r="D119" s="324">
        <f>(C119+C120)/2</f>
        <v>0.73151999999999995</v>
      </c>
      <c r="E119" s="439">
        <f>C120</f>
        <v>0.79755999999999994</v>
      </c>
      <c r="F119" s="324">
        <f t="shared" si="33"/>
        <v>12.978442162162166</v>
      </c>
      <c r="G119" s="324" t="str">
        <f t="shared" si="34"/>
        <v>no</v>
      </c>
      <c r="H119" s="324">
        <f t="shared" si="35"/>
        <v>2.1557837837834271E-2</v>
      </c>
      <c r="I119" s="531" t="s">
        <v>287</v>
      </c>
      <c r="J119" s="324">
        <f>H119+C120</f>
        <v>0.81911783783783421</v>
      </c>
      <c r="K119" s="324" t="str">
        <f t="shared" si="37"/>
        <v>no</v>
      </c>
      <c r="L119" s="594">
        <f t="shared" si="36"/>
        <v>2.7029737998187313</v>
      </c>
    </row>
    <row r="120" spans="1:12">
      <c r="A120" s="11" t="s">
        <v>13</v>
      </c>
      <c r="B120" s="449">
        <v>3.1399999999999997E-2</v>
      </c>
      <c r="C120" s="439">
        <f t="shared" si="31"/>
        <v>0.79755999999999994</v>
      </c>
      <c r="D120" s="324">
        <f>(C120+C121)/2</f>
        <v>0.80518000000000001</v>
      </c>
      <c r="E120" s="439">
        <f t="shared" ref="E120:E122" si="38">C121</f>
        <v>0.81279999999999997</v>
      </c>
      <c r="F120" s="324">
        <f t="shared" si="33"/>
        <v>12.980145454545447</v>
      </c>
      <c r="G120" s="324" t="str">
        <f t="shared" si="34"/>
        <v>no</v>
      </c>
      <c r="H120" s="324">
        <f t="shared" si="35"/>
        <v>1.9854545454553119E-2</v>
      </c>
      <c r="I120" s="531" t="s">
        <v>288</v>
      </c>
      <c r="J120" s="324">
        <f>H120+C121</f>
        <v>0.83265454545455309</v>
      </c>
      <c r="K120" s="324" t="str">
        <f t="shared" si="37"/>
        <v>no</v>
      </c>
      <c r="L120" s="594">
        <f t="shared" si="36"/>
        <v>2.4427344309243502</v>
      </c>
    </row>
    <row r="121" spans="1:12">
      <c r="A121" s="11" t="s">
        <v>15</v>
      </c>
      <c r="B121" s="449">
        <v>3.2000000000000001E-2</v>
      </c>
      <c r="C121" s="439">
        <f t="shared" si="31"/>
        <v>0.81279999999999997</v>
      </c>
      <c r="D121" s="324">
        <f>(C121+C122)/2</f>
        <v>0.83438999999999997</v>
      </c>
      <c r="E121" s="439">
        <f t="shared" si="38"/>
        <v>0.85597999999999996</v>
      </c>
      <c r="F121" s="324">
        <f t="shared" si="33"/>
        <v>12.993699999999997</v>
      </c>
      <c r="G121" s="324" t="str">
        <f t="shared" si="34"/>
        <v>no</v>
      </c>
      <c r="H121" s="324">
        <f t="shared" si="35"/>
        <v>6.3000000000030809E-3</v>
      </c>
      <c r="I121" s="531" t="s">
        <v>289</v>
      </c>
      <c r="J121" s="324">
        <f>H121+C122</f>
        <v>0.86228000000000304</v>
      </c>
      <c r="K121" s="324" t="str">
        <f t="shared" si="37"/>
        <v>no</v>
      </c>
      <c r="L121" s="594">
        <f t="shared" si="36"/>
        <v>0.73599850463831873</v>
      </c>
    </row>
    <row r="122" spans="1:12">
      <c r="A122" s="11" t="s">
        <v>17</v>
      </c>
      <c r="B122" s="449">
        <v>3.3700000000000001E-2</v>
      </c>
      <c r="C122" s="439">
        <f t="shared" si="31"/>
        <v>0.85597999999999996</v>
      </c>
      <c r="D122" s="324">
        <f>(C122+C123)/2</f>
        <v>0.90932000000000002</v>
      </c>
      <c r="E122" s="439">
        <f t="shared" si="38"/>
        <v>0.96266000000000007</v>
      </c>
      <c r="F122" s="324">
        <f t="shared" si="33"/>
        <v>12.989744761904763</v>
      </c>
      <c r="G122" s="324" t="str">
        <f t="shared" si="34"/>
        <v>no</v>
      </c>
      <c r="H122" s="324">
        <f t="shared" si="35"/>
        <v>1.0255238095236763E-2</v>
      </c>
      <c r="I122" s="531" t="s">
        <v>292</v>
      </c>
      <c r="J122" s="324">
        <f>H122+C123</f>
        <v>0.97291523809523683</v>
      </c>
      <c r="K122" s="324" t="str">
        <f t="shared" si="37"/>
        <v>no</v>
      </c>
      <c r="L122" s="594">
        <f t="shared" si="36"/>
        <v>1.0653021934262108</v>
      </c>
    </row>
    <row r="123" spans="1:12">
      <c r="A123" s="11" t="s">
        <v>19</v>
      </c>
      <c r="B123" s="449">
        <v>3.7900000000000003E-2</v>
      </c>
      <c r="C123" s="439">
        <f t="shared" si="31"/>
        <v>0.96266000000000007</v>
      </c>
      <c r="D123" s="324">
        <f>(C123+C124)/2</f>
        <v>0.96774000000000004</v>
      </c>
      <c r="E123" s="439">
        <f>C125</f>
        <v>1.1379199999999998</v>
      </c>
      <c r="F123" s="324">
        <f t="shared" si="33"/>
        <v>12.988800180180165</v>
      </c>
      <c r="G123" s="324" t="str">
        <f t="shared" si="34"/>
        <v>no</v>
      </c>
      <c r="H123" s="324">
        <f t="shared" si="35"/>
        <v>1.1199819819834644E-2</v>
      </c>
      <c r="I123" s="531" t="s">
        <v>290</v>
      </c>
      <c r="J123" s="324">
        <f>H123+C125</f>
        <v>1.1491198198198345</v>
      </c>
      <c r="K123" s="324" t="str">
        <f t="shared" si="37"/>
        <v>no</v>
      </c>
      <c r="L123" s="594">
        <f t="shared" si="36"/>
        <v>0.98423613433586254</v>
      </c>
    </row>
    <row r="124" spans="1:12">
      <c r="A124" s="11" t="s">
        <v>168</v>
      </c>
      <c r="B124" s="449">
        <v>3.8300000000000001E-2</v>
      </c>
      <c r="C124" s="439">
        <f t="shared" si="31"/>
        <v>0.97282000000000002</v>
      </c>
      <c r="D124" s="324">
        <f>(C124+C126)/2</f>
        <v>1.0553699999999999</v>
      </c>
      <c r="E124" s="439">
        <f t="shared" ref="E124:E127" si="39">C126</f>
        <v>1.1379199999999998</v>
      </c>
      <c r="F124" s="324">
        <f t="shared" si="33"/>
        <v>12.984151764705885</v>
      </c>
      <c r="G124" s="324" t="str">
        <f t="shared" si="34"/>
        <v>no</v>
      </c>
      <c r="H124" s="324">
        <f t="shared" si="35"/>
        <v>1.5848235294114943E-2</v>
      </c>
      <c r="I124" s="531" t="s">
        <v>291</v>
      </c>
      <c r="J124" s="324">
        <f>H124+C126</f>
        <v>1.1537682352941148</v>
      </c>
      <c r="K124" s="324" t="str">
        <f t="shared" si="37"/>
        <v>no</v>
      </c>
      <c r="L124" s="594">
        <f t="shared" si="36"/>
        <v>1.3927372129951969</v>
      </c>
    </row>
    <row r="125" spans="1:12">
      <c r="A125" s="11" t="s">
        <v>21</v>
      </c>
      <c r="B125" s="449">
        <v>4.48E-2</v>
      </c>
      <c r="C125" s="439">
        <f t="shared" si="31"/>
        <v>1.1379199999999998</v>
      </c>
      <c r="D125" s="324">
        <f>(C125+C127)/2</f>
        <v>1.2039599999999999</v>
      </c>
      <c r="E125" s="439">
        <f t="shared" si="39"/>
        <v>1.27</v>
      </c>
      <c r="F125" s="324">
        <f t="shared" si="33"/>
        <v>12.970720000000002</v>
      </c>
      <c r="G125" s="324" t="str">
        <f t="shared" si="34"/>
        <v>no</v>
      </c>
      <c r="H125" s="324">
        <f t="shared" si="35"/>
        <v>2.9279999999998196E-2</v>
      </c>
      <c r="I125" s="531" t="s">
        <v>293</v>
      </c>
      <c r="J125" s="324">
        <f>H125+C127</f>
        <v>1.2992799999999982</v>
      </c>
      <c r="K125" s="324" t="str">
        <f t="shared" si="37"/>
        <v>no</v>
      </c>
      <c r="L125" s="594">
        <f t="shared" si="36"/>
        <v>2.30551181102348</v>
      </c>
    </row>
    <row r="126" spans="1:12">
      <c r="A126" s="11" t="s">
        <v>243</v>
      </c>
      <c r="B126" s="449">
        <v>4.48E-2</v>
      </c>
      <c r="C126" s="439">
        <f t="shared" si="31"/>
        <v>1.1379199999999998</v>
      </c>
      <c r="D126" s="324">
        <f>(C126+C128)/2</f>
        <v>1.2166599999999999</v>
      </c>
      <c r="E126" s="439">
        <f t="shared" si="39"/>
        <v>1.2953999999999999</v>
      </c>
      <c r="F126" s="324">
        <f t="shared" si="33"/>
        <v>12.986204210526317</v>
      </c>
      <c r="G126" s="324" t="str">
        <f t="shared" si="34"/>
        <v>no</v>
      </c>
      <c r="H126" s="324">
        <f t="shared" si="35"/>
        <v>1.3795789473682873E-2</v>
      </c>
      <c r="I126" s="531" t="s">
        <v>294</v>
      </c>
      <c r="J126" s="324">
        <f>H126+C128</f>
        <v>1.3091957894736828</v>
      </c>
      <c r="K126" s="324" t="str">
        <f t="shared" si="37"/>
        <v>no</v>
      </c>
      <c r="L126" s="594">
        <f t="shared" si="36"/>
        <v>1.0649829761990794</v>
      </c>
    </row>
    <row r="127" spans="1:12">
      <c r="A127" s="11" t="s">
        <v>22</v>
      </c>
      <c r="B127" s="449">
        <v>0.05</v>
      </c>
      <c r="C127" s="439">
        <f t="shared" si="31"/>
        <v>1.27</v>
      </c>
      <c r="D127" s="324">
        <f>(C127+C129)/2</f>
        <v>1.4884399999999998</v>
      </c>
      <c r="E127" s="439">
        <f t="shared" si="39"/>
        <v>1.7068799999999997</v>
      </c>
      <c r="F127" s="324">
        <f t="shared" si="33"/>
        <v>12.950396825396828</v>
      </c>
      <c r="G127" s="324" t="str">
        <f t="shared" si="34"/>
        <v>no</v>
      </c>
      <c r="H127" s="324">
        <f t="shared" si="35"/>
        <v>4.9603174603172207E-2</v>
      </c>
      <c r="I127" s="531" t="s">
        <v>295</v>
      </c>
      <c r="J127" s="324">
        <f>H127+C129</f>
        <v>1.7564831746031719</v>
      </c>
      <c r="K127" s="324" t="str">
        <f t="shared" si="37"/>
        <v>no</v>
      </c>
      <c r="L127" s="594">
        <f t="shared" si="36"/>
        <v>2.9060727528105206</v>
      </c>
    </row>
    <row r="128" spans="1:12">
      <c r="A128" s="11" t="s">
        <v>244</v>
      </c>
      <c r="B128" s="449">
        <v>5.0999999999999997E-2</v>
      </c>
      <c r="C128" s="439">
        <f t="shared" si="31"/>
        <v>1.2953999999999999</v>
      </c>
      <c r="D128" s="324">
        <f>(C128+C129)/2</f>
        <v>1.5011399999999999</v>
      </c>
      <c r="E128" s="439">
        <f>C129</f>
        <v>1.7068799999999997</v>
      </c>
      <c r="F128" s="324">
        <f t="shared" si="33"/>
        <v>12.887714285714287</v>
      </c>
      <c r="G128" s="324" t="str">
        <f t="shared" si="34"/>
        <v>no</v>
      </c>
      <c r="H128" s="324">
        <f t="shared" si="35"/>
        <v>0.11228571428571321</v>
      </c>
      <c r="I128" s="531" t="s">
        <v>295</v>
      </c>
      <c r="J128" s="324">
        <f>H128+C129</f>
        <v>1.8191657142857129</v>
      </c>
      <c r="K128" s="324" t="str">
        <f t="shared" si="37"/>
        <v>no</v>
      </c>
      <c r="L128" s="594">
        <f t="shared" si="36"/>
        <v>6.5784187690823739</v>
      </c>
    </row>
    <row r="129" spans="1:12">
      <c r="A129" s="11" t="s">
        <v>24</v>
      </c>
      <c r="B129" s="449">
        <v>6.7199999999999996E-2</v>
      </c>
      <c r="C129" s="439">
        <f t="shared" si="31"/>
        <v>1.7068799999999997</v>
      </c>
      <c r="D129" s="324">
        <f>(C129+C130)/2</f>
        <v>2.0256499999999997</v>
      </c>
      <c r="E129" s="439">
        <f t="shared" ref="E129:E131" si="40">C130</f>
        <v>2.3444199999999995</v>
      </c>
      <c r="F129" s="324">
        <f t="shared" si="33"/>
        <v>12.995853333333333</v>
      </c>
      <c r="G129" s="324" t="str">
        <f t="shared" si="34"/>
        <v>no</v>
      </c>
      <c r="H129" s="324">
        <f t="shared" si="35"/>
        <v>4.146666666667187E-3</v>
      </c>
      <c r="I129" s="531" t="s">
        <v>296</v>
      </c>
      <c r="J129" s="324">
        <f>H129+C130</f>
        <v>2.3485666666666667</v>
      </c>
      <c r="K129" s="324" t="str">
        <f t="shared" si="37"/>
        <v>no</v>
      </c>
      <c r="L129" s="594">
        <f t="shared" si="36"/>
        <v>0.17687388209737109</v>
      </c>
    </row>
    <row r="130" spans="1:12">
      <c r="A130" s="11" t="s">
        <v>26</v>
      </c>
      <c r="B130" s="449">
        <v>9.2299999999999993E-2</v>
      </c>
      <c r="C130" s="439">
        <f t="shared" si="31"/>
        <v>2.3444199999999995</v>
      </c>
      <c r="D130" s="324">
        <f>(C130+C131)/2</f>
        <v>2.7089099999999995</v>
      </c>
      <c r="E130" s="439">
        <f t="shared" si="40"/>
        <v>3.0733999999999999</v>
      </c>
      <c r="F130" s="324">
        <f t="shared" si="33"/>
        <v>12.997634999999995</v>
      </c>
      <c r="G130" s="324" t="str">
        <f t="shared" si="34"/>
        <v>no</v>
      </c>
      <c r="H130" s="324">
        <f t="shared" si="35"/>
        <v>2.3650000000046134E-3</v>
      </c>
      <c r="I130" s="531" t="s">
        <v>297</v>
      </c>
      <c r="J130" s="324">
        <f>H130+C131</f>
        <v>3.0757650000000045</v>
      </c>
      <c r="K130" s="324" t="str">
        <f t="shared" si="37"/>
        <v>no</v>
      </c>
      <c r="L130" s="594">
        <f t="shared" si="36"/>
        <v>7.6950608446821556E-2</v>
      </c>
    </row>
    <row r="131" spans="1:12">
      <c r="A131" s="11" t="s">
        <v>239</v>
      </c>
      <c r="B131" s="449">
        <v>0.121</v>
      </c>
      <c r="C131" s="439">
        <f t="shared" si="31"/>
        <v>3.0733999999999999</v>
      </c>
      <c r="D131" s="324">
        <f>(C131+C132)/2</f>
        <v>4.7116999999999996</v>
      </c>
      <c r="E131" s="439">
        <f t="shared" si="40"/>
        <v>6.35</v>
      </c>
      <c r="F131" s="324">
        <f t="shared" si="33"/>
        <v>12.994678787878785</v>
      </c>
      <c r="G131" s="324" t="str">
        <f t="shared" si="34"/>
        <v>no</v>
      </c>
      <c r="H131" s="324">
        <f t="shared" si="35"/>
        <v>5.3212121212151686E-3</v>
      </c>
      <c r="I131" s="531" t="s">
        <v>298</v>
      </c>
      <c r="J131" s="324">
        <f>H131+C132</f>
        <v>6.3553212121212148</v>
      </c>
      <c r="K131" s="324" t="str">
        <f t="shared" si="37"/>
        <v>no</v>
      </c>
      <c r="L131" s="594">
        <f t="shared" si="36"/>
        <v>8.3798616082128644E-2</v>
      </c>
    </row>
    <row r="132" spans="1:12">
      <c r="A132" s="11" t="s">
        <v>89</v>
      </c>
      <c r="B132" s="449">
        <v>0.25</v>
      </c>
      <c r="C132" s="439">
        <f t="shared" si="31"/>
        <v>6.35</v>
      </c>
      <c r="D132" s="324">
        <f>(C132+C114)/2</f>
        <v>3.4798</v>
      </c>
      <c r="E132" s="439">
        <f>C132</f>
        <v>6.35</v>
      </c>
      <c r="F132" s="324">
        <f t="shared" si="33"/>
        <v>12.995333333333331</v>
      </c>
      <c r="G132" s="324" t="str">
        <f t="shared" si="34"/>
        <v>no</v>
      </c>
      <c r="H132" s="324">
        <f t="shared" si="35"/>
        <v>4.6666666666688172E-3</v>
      </c>
      <c r="I132" s="531" t="s">
        <v>299</v>
      </c>
      <c r="J132" s="324">
        <f>H132+C114</f>
        <v>0.61426666666666885</v>
      </c>
      <c r="K132" s="324" t="str">
        <f>IF(AND(J132&lt;=E132,J132&gt;=C115), "yes","no")</f>
        <v>yes</v>
      </c>
      <c r="L132" s="594">
        <f t="shared" si="36"/>
        <v>-90.326509186351672</v>
      </c>
    </row>
    <row r="133" spans="1:12">
      <c r="A133" s="32" t="s">
        <v>245</v>
      </c>
      <c r="B133" s="449">
        <v>0.247</v>
      </c>
      <c r="C133" s="440">
        <f t="shared" si="31"/>
        <v>6.2737999999999996</v>
      </c>
      <c r="D133" s="368">
        <f>(C133+C115)/2</f>
        <v>3.4417</v>
      </c>
      <c r="E133" s="440">
        <f>C133</f>
        <v>6.2737999999999996</v>
      </c>
      <c r="F133" s="324">
        <f t="shared" si="33"/>
        <v>12.9763</v>
      </c>
      <c r="G133" s="368" t="str">
        <f t="shared" si="34"/>
        <v>no</v>
      </c>
      <c r="H133" s="324">
        <f t="shared" si="35"/>
        <v>2.3699999999999832E-2</v>
      </c>
      <c r="I133" s="438" t="s">
        <v>300</v>
      </c>
      <c r="J133" s="368">
        <f>H133+C115</f>
        <v>0.63329999999999986</v>
      </c>
      <c r="K133" s="368" t="str">
        <f>IF(AND(J133&lt;=E133,J133&gt;=C116), "yes","no")</f>
        <v>yes</v>
      </c>
      <c r="L133" s="601">
        <f t="shared" si="36"/>
        <v>-89.905639325448689</v>
      </c>
    </row>
    <row r="137" spans="1:12" s="447" customFormat="1" ht="15.75" thickBot="1"/>
    <row r="138" spans="1:12" s="388" customFormat="1" ht="27" thickTop="1">
      <c r="A138" s="388" t="s">
        <v>398</v>
      </c>
    </row>
    <row r="139" spans="1:12" s="388" customFormat="1" ht="26.25">
      <c r="A139" s="526" t="s">
        <v>399</v>
      </c>
      <c r="B139" s="526"/>
      <c r="C139" s="526"/>
      <c r="D139" s="526"/>
      <c r="E139" s="526"/>
      <c r="F139" s="526"/>
      <c r="G139" s="526"/>
      <c r="H139" s="526"/>
    </row>
    <row r="140" spans="1:12" s="388" customFormat="1" ht="26.25">
      <c r="A140" s="526"/>
      <c r="B140" s="526" t="s">
        <v>400</v>
      </c>
      <c r="C140" s="526"/>
      <c r="D140" s="526"/>
      <c r="E140" s="526"/>
      <c r="F140" s="526"/>
      <c r="G140" s="526"/>
      <c r="H140" s="526"/>
    </row>
    <row r="141" spans="1:12" s="388" customFormat="1" ht="26.25">
      <c r="A141" s="526"/>
      <c r="B141" s="526" t="s">
        <v>528</v>
      </c>
      <c r="C141" s="526"/>
      <c r="D141" s="526"/>
      <c r="E141" s="526"/>
      <c r="F141" s="526"/>
      <c r="G141" s="526"/>
      <c r="H141" s="526"/>
    </row>
    <row r="142" spans="1:12" s="388" customFormat="1" ht="26.25"/>
    <row r="143" spans="1:12" s="600" customFormat="1" ht="21">
      <c r="A143" s="526" t="s">
        <v>495</v>
      </c>
    </row>
    <row r="144" spans="1:12" s="600" customFormat="1" ht="15.75">
      <c r="A144" s="600" t="s">
        <v>483</v>
      </c>
      <c r="B144" s="600">
        <v>1E-3</v>
      </c>
      <c r="C144" s="600" t="s">
        <v>237</v>
      </c>
    </row>
    <row r="145" spans="1:12" s="600" customFormat="1" ht="15.75">
      <c r="A145" s="600" t="s">
        <v>415</v>
      </c>
      <c r="B145" s="600">
        <v>13</v>
      </c>
      <c r="C145" s="600" t="s">
        <v>113</v>
      </c>
    </row>
    <row r="147" spans="1:12" ht="21">
      <c r="A147" s="778" t="s">
        <v>340</v>
      </c>
      <c r="B147" s="778"/>
      <c r="D147" s="529" t="s">
        <v>476</v>
      </c>
      <c r="E147" s="4"/>
      <c r="F147" s="591" t="s">
        <v>467</v>
      </c>
      <c r="G147" s="591"/>
      <c r="H147" s="324"/>
      <c r="I147" s="592" t="s">
        <v>468</v>
      </c>
      <c r="J147" s="324"/>
      <c r="K147" s="324"/>
      <c r="L147" s="439"/>
    </row>
    <row r="148" spans="1:12">
      <c r="A148" s="11" t="s">
        <v>246</v>
      </c>
      <c r="B148" s="436" t="s">
        <v>484</v>
      </c>
      <c r="C148" s="379"/>
      <c r="D148" s="324" t="s">
        <v>475</v>
      </c>
      <c r="E148" s="379" t="s">
        <v>477</v>
      </c>
      <c r="F148" s="324" t="s">
        <v>466</v>
      </c>
      <c r="G148" s="324" t="s">
        <v>485</v>
      </c>
      <c r="H148" s="324" t="s">
        <v>467</v>
      </c>
      <c r="I148" s="531" t="s">
        <v>473</v>
      </c>
      <c r="J148" s="324" t="s">
        <v>468</v>
      </c>
      <c r="K148" s="324" t="s">
        <v>504</v>
      </c>
      <c r="L148" s="439" t="s">
        <v>481</v>
      </c>
    </row>
    <row r="149" spans="1:12">
      <c r="A149" s="32"/>
      <c r="B149" s="437" t="s">
        <v>112</v>
      </c>
      <c r="C149" s="393" t="s">
        <v>113</v>
      </c>
      <c r="D149" s="368" t="s">
        <v>113</v>
      </c>
      <c r="E149" s="393" t="s">
        <v>113</v>
      </c>
      <c r="F149" s="368" t="s">
        <v>113</v>
      </c>
      <c r="G149" s="368" t="s">
        <v>486</v>
      </c>
      <c r="H149" s="368" t="s">
        <v>113</v>
      </c>
      <c r="I149" s="438"/>
      <c r="J149" s="368" t="s">
        <v>113</v>
      </c>
      <c r="K149" s="368"/>
      <c r="L149" s="439" t="s">
        <v>113</v>
      </c>
    </row>
    <row r="150" spans="1:12">
      <c r="B150" s="436"/>
      <c r="C150" s="575"/>
      <c r="D150" s="324"/>
      <c r="E150" s="379"/>
      <c r="F150" s="324"/>
      <c r="G150" s="324"/>
      <c r="H150" s="324"/>
      <c r="I150" s="531"/>
      <c r="J150" s="324"/>
      <c r="K150" s="324"/>
      <c r="L150" s="439"/>
    </row>
    <row r="151" spans="1:12">
      <c r="A151" s="66" t="s">
        <v>6</v>
      </c>
      <c r="B151" s="334">
        <v>2.4E-2</v>
      </c>
      <c r="C151" s="439">
        <f>B151*25.4</f>
        <v>0.60960000000000003</v>
      </c>
      <c r="D151" s="324">
        <f>(C151+C153)/2</f>
        <v>0.59689999999999999</v>
      </c>
      <c r="E151" s="439">
        <f>C151</f>
        <v>0.60960000000000003</v>
      </c>
      <c r="F151" s="324">
        <f t="shared" ref="F151:F170" si="41">(C151+J43)*B43</f>
        <v>12.916799999999999</v>
      </c>
      <c r="G151" s="324" t="str">
        <f>IF(F151&gt;$B$145,"yes","no")</f>
        <v>no</v>
      </c>
      <c r="H151" s="324">
        <f>$B$145-F151</f>
        <v>8.3200000000001495E-2</v>
      </c>
      <c r="I151" s="531" t="s">
        <v>469</v>
      </c>
      <c r="J151" s="324">
        <f>H151+C153</f>
        <v>0.66740000000000144</v>
      </c>
      <c r="K151" s="324" t="str">
        <f>IF(AND(J151&lt;E151, J151&gt;C153), "yes","no")</f>
        <v>no</v>
      </c>
      <c r="L151" s="594">
        <f>((J151-E151)/E151)*100</f>
        <v>9.4816272965881563</v>
      </c>
    </row>
    <row r="152" spans="1:12">
      <c r="A152" s="66" t="s">
        <v>164</v>
      </c>
      <c r="B152" s="334">
        <v>2.4E-2</v>
      </c>
      <c r="C152" s="439">
        <f t="shared" ref="C152:C170" si="42">B152*25.4</f>
        <v>0.60960000000000003</v>
      </c>
      <c r="D152" s="324">
        <f>(C152+C154)/2</f>
        <v>0.58420000000000005</v>
      </c>
      <c r="E152" s="439">
        <f t="shared" ref="E152:E155" si="43">C154</f>
        <v>0.55879999999999996</v>
      </c>
      <c r="F152" s="324">
        <f t="shared" si="41"/>
        <v>12.927558620689656</v>
      </c>
      <c r="G152" s="324" t="str">
        <f t="shared" ref="G152:G170" si="44">IF(F152&gt;$B$145,"yes","no")</f>
        <v>no</v>
      </c>
      <c r="H152" s="324">
        <f t="shared" ref="H152:H170" si="45">$B$145-F152</f>
        <v>7.2441379310344445E-2</v>
      </c>
      <c r="I152" s="531" t="s">
        <v>470</v>
      </c>
      <c r="J152" s="324">
        <f>H152+C154</f>
        <v>0.63124137931034441</v>
      </c>
      <c r="K152" s="324" t="str">
        <f>IF(AND(J152&lt;E152, J152&gt;C154), "yes","no")</f>
        <v>no</v>
      </c>
      <c r="L152" s="594">
        <f t="shared" ref="L152:L170" si="46">((J152-E152)/E152)*100</f>
        <v>12.963740034063074</v>
      </c>
    </row>
    <row r="153" spans="1:12">
      <c r="A153" s="66" t="s">
        <v>9</v>
      </c>
      <c r="B153" s="334">
        <v>2.3E-2</v>
      </c>
      <c r="C153" s="439">
        <f t="shared" si="42"/>
        <v>0.58419999999999994</v>
      </c>
      <c r="D153" s="324">
        <f>(C153+C155)/2</f>
        <v>0.63500000000000001</v>
      </c>
      <c r="E153" s="439">
        <f t="shared" si="43"/>
        <v>0.68579999999999997</v>
      </c>
      <c r="F153" s="324">
        <f t="shared" si="41"/>
        <v>13.015854545454536</v>
      </c>
      <c r="G153" s="324" t="str">
        <f t="shared" si="44"/>
        <v>yes</v>
      </c>
      <c r="H153" s="324">
        <f t="shared" si="45"/>
        <v>-1.5854545454535796E-2</v>
      </c>
      <c r="I153" s="531" t="s">
        <v>471</v>
      </c>
      <c r="J153" s="324">
        <f>H153+C155</f>
        <v>0.66994545454546417</v>
      </c>
      <c r="K153" s="324" t="str">
        <f>IF(AND(J153&lt;=E153,J153&gt;=C153), "yes","no")</f>
        <v>yes</v>
      </c>
      <c r="L153" s="594">
        <f t="shared" si="46"/>
        <v>-2.3118322330906675</v>
      </c>
    </row>
    <row r="154" spans="1:12">
      <c r="A154" s="66" t="s">
        <v>165</v>
      </c>
      <c r="B154" s="334">
        <v>2.1999999999999999E-2</v>
      </c>
      <c r="C154" s="439">
        <f t="shared" si="42"/>
        <v>0.55879999999999996</v>
      </c>
      <c r="D154" s="324">
        <f>(C154+C156)/2</f>
        <v>0.60959999999999992</v>
      </c>
      <c r="E154" s="439">
        <f t="shared" si="43"/>
        <v>0.66039999999999999</v>
      </c>
      <c r="F154" s="324">
        <f t="shared" si="41"/>
        <v>12.878140540540546</v>
      </c>
      <c r="G154" s="324" t="str">
        <f t="shared" si="44"/>
        <v>no</v>
      </c>
      <c r="H154" s="324">
        <f t="shared" si="45"/>
        <v>0.1218594594594542</v>
      </c>
      <c r="I154" s="602" t="s">
        <v>472</v>
      </c>
      <c r="J154" s="324">
        <f>H154+C156</f>
        <v>0.78225945945945419</v>
      </c>
      <c r="K154" s="324" t="str">
        <f t="shared" ref="K154:K168" si="47">IF(AND(J154&lt;=E154,J154&gt;=C154), "yes","no")</f>
        <v>no</v>
      </c>
      <c r="L154" s="594">
        <f t="shared" si="46"/>
        <v>18.452371208275924</v>
      </c>
    </row>
    <row r="155" spans="1:12">
      <c r="A155" s="66" t="s">
        <v>11</v>
      </c>
      <c r="B155" s="334">
        <v>2.7E-2</v>
      </c>
      <c r="C155" s="439">
        <f t="shared" si="42"/>
        <v>0.68579999999999997</v>
      </c>
      <c r="D155" s="324">
        <f>(C155+C157)/2</f>
        <v>0.73659999999999992</v>
      </c>
      <c r="E155" s="439">
        <f t="shared" si="43"/>
        <v>0.78739999999999999</v>
      </c>
      <c r="F155" s="324">
        <f t="shared" si="41"/>
        <v>13.048799999999989</v>
      </c>
      <c r="G155" s="324" t="str">
        <f t="shared" si="44"/>
        <v>yes</v>
      </c>
      <c r="H155" s="324">
        <f t="shared" si="45"/>
        <v>-4.8799999999989296E-2</v>
      </c>
      <c r="I155" s="531" t="s">
        <v>287</v>
      </c>
      <c r="J155" s="324">
        <f>H155+C157</f>
        <v>0.73860000000001069</v>
      </c>
      <c r="K155" s="324" t="str">
        <f t="shared" si="47"/>
        <v>yes</v>
      </c>
      <c r="L155" s="594">
        <f t="shared" si="46"/>
        <v>-6.1976123952234312</v>
      </c>
    </row>
    <row r="156" spans="1:12">
      <c r="A156" s="66" t="s">
        <v>226</v>
      </c>
      <c r="B156" s="334">
        <v>2.5999999999999999E-2</v>
      </c>
      <c r="C156" s="439">
        <f t="shared" si="42"/>
        <v>0.66039999999999999</v>
      </c>
      <c r="D156" s="324">
        <f>(C156+C157)/2</f>
        <v>0.72389999999999999</v>
      </c>
      <c r="E156" s="439">
        <f>C157</f>
        <v>0.78739999999999999</v>
      </c>
      <c r="F156" s="324">
        <f t="shared" si="41"/>
        <v>12.922562162162166</v>
      </c>
      <c r="G156" s="324" t="str">
        <f t="shared" si="44"/>
        <v>no</v>
      </c>
      <c r="H156" s="324">
        <f t="shared" si="45"/>
        <v>7.7437837837834422E-2</v>
      </c>
      <c r="I156" s="531" t="s">
        <v>287</v>
      </c>
      <c r="J156" s="324">
        <f>H156+C157</f>
        <v>0.86483783783783441</v>
      </c>
      <c r="K156" s="324" t="str">
        <f t="shared" si="47"/>
        <v>no</v>
      </c>
      <c r="L156" s="594">
        <f t="shared" si="46"/>
        <v>9.8346250746551203</v>
      </c>
    </row>
    <row r="157" spans="1:12">
      <c r="A157" s="11" t="s">
        <v>13</v>
      </c>
      <c r="B157" s="334">
        <v>3.1E-2</v>
      </c>
      <c r="C157" s="439">
        <f t="shared" si="42"/>
        <v>0.78739999999999999</v>
      </c>
      <c r="D157" s="324">
        <f>(C157+C158)/2</f>
        <v>0.80010000000000003</v>
      </c>
      <c r="E157" s="439">
        <f t="shared" ref="E157:E159" si="48">C158</f>
        <v>0.81279999999999997</v>
      </c>
      <c r="F157" s="324">
        <f t="shared" si="41"/>
        <v>12.878545454545447</v>
      </c>
      <c r="G157" s="324" t="str">
        <f t="shared" si="44"/>
        <v>no</v>
      </c>
      <c r="H157" s="324">
        <f t="shared" si="45"/>
        <v>0.12145454545455259</v>
      </c>
      <c r="I157" s="531" t="s">
        <v>288</v>
      </c>
      <c r="J157" s="324">
        <f>H157+C158</f>
        <v>0.93425454545455255</v>
      </c>
      <c r="K157" s="324" t="str">
        <f t="shared" si="47"/>
        <v>no</v>
      </c>
      <c r="L157" s="594">
        <f t="shared" si="46"/>
        <v>14.942734430924284</v>
      </c>
    </row>
    <row r="158" spans="1:12">
      <c r="A158" s="11" t="s">
        <v>15</v>
      </c>
      <c r="B158" s="334">
        <v>3.2000000000000001E-2</v>
      </c>
      <c r="C158" s="439">
        <f t="shared" si="42"/>
        <v>0.81279999999999997</v>
      </c>
      <c r="D158" s="324">
        <f>(C158+C159)/2</f>
        <v>0.83820000000000006</v>
      </c>
      <c r="E158" s="439">
        <f t="shared" si="48"/>
        <v>0.86360000000000003</v>
      </c>
      <c r="F158" s="324">
        <f t="shared" si="41"/>
        <v>12.993699999999997</v>
      </c>
      <c r="G158" s="324" t="str">
        <f t="shared" si="44"/>
        <v>no</v>
      </c>
      <c r="H158" s="324">
        <f t="shared" si="45"/>
        <v>6.3000000000030809E-3</v>
      </c>
      <c r="I158" s="531" t="s">
        <v>289</v>
      </c>
      <c r="J158" s="324">
        <f>H158+C159</f>
        <v>0.86990000000000312</v>
      </c>
      <c r="K158" s="324" t="str">
        <f t="shared" si="47"/>
        <v>no</v>
      </c>
      <c r="L158" s="594">
        <f t="shared" si="46"/>
        <v>0.72950440018562768</v>
      </c>
    </row>
    <row r="159" spans="1:12">
      <c r="A159" s="11" t="s">
        <v>17</v>
      </c>
      <c r="B159" s="334">
        <v>3.4000000000000002E-2</v>
      </c>
      <c r="C159" s="439">
        <f t="shared" si="42"/>
        <v>0.86360000000000003</v>
      </c>
      <c r="D159" s="324">
        <f>(C159+C160)/2</f>
        <v>0.91439999999999999</v>
      </c>
      <c r="E159" s="439">
        <f t="shared" si="48"/>
        <v>0.96519999999999995</v>
      </c>
      <c r="F159" s="324">
        <f t="shared" si="41"/>
        <v>13.050704761904763</v>
      </c>
      <c r="G159" s="324" t="str">
        <f t="shared" si="44"/>
        <v>yes</v>
      </c>
      <c r="H159" s="324">
        <f t="shared" si="45"/>
        <v>-5.0704761904762918E-2</v>
      </c>
      <c r="I159" s="531" t="s">
        <v>292</v>
      </c>
      <c r="J159" s="324">
        <f>H159+C160</f>
        <v>0.91449523809523703</v>
      </c>
      <c r="K159" s="324" t="str">
        <f t="shared" si="47"/>
        <v>yes</v>
      </c>
      <c r="L159" s="594">
        <f t="shared" si="46"/>
        <v>-5.2532907070827726</v>
      </c>
    </row>
    <row r="160" spans="1:12">
      <c r="A160" s="11" t="s">
        <v>19</v>
      </c>
      <c r="B160" s="334">
        <v>3.7999999999999999E-2</v>
      </c>
      <c r="C160" s="439">
        <f t="shared" si="42"/>
        <v>0.96519999999999995</v>
      </c>
      <c r="D160" s="324">
        <f>(C160+C161)/2</f>
        <v>0.96519999999999995</v>
      </c>
      <c r="E160" s="439">
        <f>C162</f>
        <v>1.1429999999999998</v>
      </c>
      <c r="F160" s="324">
        <f t="shared" si="41"/>
        <v>13.006580180180165</v>
      </c>
      <c r="G160" s="324" t="str">
        <f t="shared" si="44"/>
        <v>yes</v>
      </c>
      <c r="H160" s="324">
        <f t="shared" si="45"/>
        <v>-6.5801801801654847E-3</v>
      </c>
      <c r="I160" s="531" t="s">
        <v>290</v>
      </c>
      <c r="J160" s="324">
        <f>H160+C162</f>
        <v>1.1364198198198343</v>
      </c>
      <c r="K160" s="324" t="str">
        <f t="shared" si="47"/>
        <v>yes</v>
      </c>
      <c r="L160" s="594">
        <f t="shared" si="46"/>
        <v>-0.57569380403897508</v>
      </c>
    </row>
    <row r="161" spans="1:12">
      <c r="A161" s="11" t="s">
        <v>168</v>
      </c>
      <c r="B161" s="334">
        <v>3.7999999999999999E-2</v>
      </c>
      <c r="C161" s="439">
        <f t="shared" si="42"/>
        <v>0.96519999999999995</v>
      </c>
      <c r="D161" s="324">
        <f>(C161+C163)/2</f>
        <v>1.0540999999999998</v>
      </c>
      <c r="E161" s="439">
        <f t="shared" ref="E161:E164" si="49">C163</f>
        <v>1.1429999999999998</v>
      </c>
      <c r="F161" s="324">
        <f t="shared" si="41"/>
        <v>12.930811764705883</v>
      </c>
      <c r="G161" s="324" t="str">
        <f t="shared" si="44"/>
        <v>no</v>
      </c>
      <c r="H161" s="324">
        <f t="shared" si="45"/>
        <v>6.9188235294117106E-2</v>
      </c>
      <c r="I161" s="531" t="s">
        <v>291</v>
      </c>
      <c r="J161" s="324">
        <f>H161+C163</f>
        <v>1.2121882352941169</v>
      </c>
      <c r="K161" s="324" t="str">
        <f t="shared" si="47"/>
        <v>no</v>
      </c>
      <c r="L161" s="594">
        <f t="shared" si="46"/>
        <v>6.0532139364931865</v>
      </c>
    </row>
    <row r="162" spans="1:12">
      <c r="A162" s="11" t="s">
        <v>21</v>
      </c>
      <c r="B162" s="334">
        <v>4.4999999999999998E-2</v>
      </c>
      <c r="C162" s="439">
        <f t="shared" si="42"/>
        <v>1.1429999999999998</v>
      </c>
      <c r="D162" s="324">
        <f>(C162+C164)/2</f>
        <v>1.2064999999999999</v>
      </c>
      <c r="E162" s="439">
        <f t="shared" si="49"/>
        <v>1.27</v>
      </c>
      <c r="F162" s="324">
        <f t="shared" si="41"/>
        <v>13.001200000000001</v>
      </c>
      <c r="G162" s="324" t="str">
        <f t="shared" si="44"/>
        <v>yes</v>
      </c>
      <c r="H162" s="324">
        <f t="shared" si="45"/>
        <v>-1.200000000000756E-3</v>
      </c>
      <c r="I162" s="531" t="s">
        <v>293</v>
      </c>
      <c r="J162" s="324">
        <f>H162+C164</f>
        <v>1.2687999999999993</v>
      </c>
      <c r="K162" s="324" t="str">
        <f t="shared" si="47"/>
        <v>yes</v>
      </c>
      <c r="L162" s="594">
        <f t="shared" si="46"/>
        <v>-9.4488188976437473E-2</v>
      </c>
    </row>
    <row r="163" spans="1:12">
      <c r="A163" s="11" t="s">
        <v>243</v>
      </c>
      <c r="B163" s="334">
        <v>4.4999999999999998E-2</v>
      </c>
      <c r="C163" s="439">
        <f t="shared" si="42"/>
        <v>1.1429999999999998</v>
      </c>
      <c r="D163" s="324">
        <f>(C163+C165)/2</f>
        <v>1.2319</v>
      </c>
      <c r="E163" s="439">
        <f t="shared" si="49"/>
        <v>1.3208</v>
      </c>
      <c r="F163" s="324">
        <f t="shared" si="41"/>
        <v>13.016684210526316</v>
      </c>
      <c r="G163" s="324" t="str">
        <f t="shared" si="44"/>
        <v>yes</v>
      </c>
      <c r="H163" s="324">
        <f t="shared" si="45"/>
        <v>-1.6684210526316079E-2</v>
      </c>
      <c r="I163" s="531" t="s">
        <v>294</v>
      </c>
      <c r="J163" s="324">
        <f>H163+C165</f>
        <v>1.3041157894736839</v>
      </c>
      <c r="K163" s="324" t="str">
        <f t="shared" si="47"/>
        <v>yes</v>
      </c>
      <c r="L163" s="594">
        <f t="shared" si="46"/>
        <v>-1.2631897733431314</v>
      </c>
    </row>
    <row r="164" spans="1:12">
      <c r="A164" s="11" t="s">
        <v>22</v>
      </c>
      <c r="B164" s="334">
        <v>0.05</v>
      </c>
      <c r="C164" s="439">
        <f t="shared" si="42"/>
        <v>1.27</v>
      </c>
      <c r="D164" s="324">
        <f>(C164+C166)/2</f>
        <v>1.4859</v>
      </c>
      <c r="E164" s="439">
        <f t="shared" si="49"/>
        <v>1.7018</v>
      </c>
      <c r="F164" s="324">
        <f t="shared" si="41"/>
        <v>12.950396825396828</v>
      </c>
      <c r="G164" s="324" t="str">
        <f t="shared" si="44"/>
        <v>no</v>
      </c>
      <c r="H164" s="324">
        <f t="shared" si="45"/>
        <v>4.9603174603172207E-2</v>
      </c>
      <c r="I164" s="531" t="s">
        <v>295</v>
      </c>
      <c r="J164" s="324">
        <f>H164+C166</f>
        <v>1.7514031746031722</v>
      </c>
      <c r="K164" s="324" t="str">
        <f t="shared" si="47"/>
        <v>no</v>
      </c>
      <c r="L164" s="594">
        <f t="shared" si="46"/>
        <v>2.9147475968487604</v>
      </c>
    </row>
    <row r="165" spans="1:12">
      <c r="A165" s="11" t="s">
        <v>244</v>
      </c>
      <c r="B165" s="334">
        <v>5.1999999999999998E-2</v>
      </c>
      <c r="C165" s="439">
        <f t="shared" si="42"/>
        <v>1.3208</v>
      </c>
      <c r="D165" s="324">
        <f>(C165+C166)/2</f>
        <v>1.5112999999999999</v>
      </c>
      <c r="E165" s="439">
        <f>C166</f>
        <v>1.7018</v>
      </c>
      <c r="F165" s="324">
        <f t="shared" si="41"/>
        <v>13.014714285714287</v>
      </c>
      <c r="G165" s="324" t="str">
        <f t="shared" si="44"/>
        <v>yes</v>
      </c>
      <c r="H165" s="324">
        <f t="shared" si="45"/>
        <v>-1.4714285714287456E-2</v>
      </c>
      <c r="I165" s="531" t="s">
        <v>295</v>
      </c>
      <c r="J165" s="324">
        <f>H165+C166</f>
        <v>1.6870857142857125</v>
      </c>
      <c r="K165" s="324" t="str">
        <f t="shared" si="47"/>
        <v>yes</v>
      </c>
      <c r="L165" s="594">
        <f t="shared" si="46"/>
        <v>-0.86463072712936051</v>
      </c>
    </row>
    <row r="166" spans="1:12">
      <c r="A166" s="11" t="s">
        <v>24</v>
      </c>
      <c r="B166" s="334">
        <v>6.7000000000000004E-2</v>
      </c>
      <c r="C166" s="439">
        <f t="shared" si="42"/>
        <v>1.7018</v>
      </c>
      <c r="D166" s="324">
        <f>(C166+C167)/2</f>
        <v>2.0192999999999999</v>
      </c>
      <c r="E166" s="439">
        <f t="shared" ref="E166:E168" si="50">C167</f>
        <v>2.3367999999999998</v>
      </c>
      <c r="F166" s="324">
        <f t="shared" si="41"/>
        <v>12.975533333333335</v>
      </c>
      <c r="G166" s="324" t="str">
        <f t="shared" si="44"/>
        <v>no</v>
      </c>
      <c r="H166" s="324">
        <f t="shared" si="45"/>
        <v>2.4466666666665304E-2</v>
      </c>
      <c r="I166" s="531" t="s">
        <v>296</v>
      </c>
      <c r="J166" s="324">
        <f>H166+C167</f>
        <v>2.3612666666666651</v>
      </c>
      <c r="K166" s="324" t="str">
        <f t="shared" si="47"/>
        <v>no</v>
      </c>
      <c r="L166" s="594">
        <f t="shared" si="46"/>
        <v>1.047015862147608</v>
      </c>
    </row>
    <row r="167" spans="1:12">
      <c r="A167" s="11" t="s">
        <v>26</v>
      </c>
      <c r="B167" s="334">
        <v>9.1999999999999998E-2</v>
      </c>
      <c r="C167" s="439">
        <f t="shared" si="42"/>
        <v>2.3367999999999998</v>
      </c>
      <c r="D167" s="324">
        <f>(C167+C168)/2</f>
        <v>2.7050999999999998</v>
      </c>
      <c r="E167" s="439">
        <f t="shared" si="50"/>
        <v>3.0733999999999999</v>
      </c>
      <c r="F167" s="324">
        <f t="shared" si="41"/>
        <v>12.974774999999996</v>
      </c>
      <c r="G167" s="324" t="str">
        <f t="shared" si="44"/>
        <v>no</v>
      </c>
      <c r="H167" s="324">
        <f t="shared" si="45"/>
        <v>2.5225000000004272E-2</v>
      </c>
      <c r="I167" s="531" t="s">
        <v>297</v>
      </c>
      <c r="J167" s="324">
        <f>H167+C168</f>
        <v>3.0986250000000042</v>
      </c>
      <c r="K167" s="324" t="str">
        <f t="shared" si="47"/>
        <v>no</v>
      </c>
      <c r="L167" s="594">
        <f t="shared" si="46"/>
        <v>0.82075226133937251</v>
      </c>
    </row>
    <row r="168" spans="1:12">
      <c r="A168" s="11" t="s">
        <v>239</v>
      </c>
      <c r="B168" s="334">
        <v>0.121</v>
      </c>
      <c r="C168" s="439">
        <f t="shared" si="42"/>
        <v>3.0733999999999999</v>
      </c>
      <c r="D168" s="324">
        <f>(C168+C169)/2</f>
        <v>4.7116999999999996</v>
      </c>
      <c r="E168" s="439">
        <f t="shared" si="50"/>
        <v>6.35</v>
      </c>
      <c r="F168" s="324">
        <f t="shared" si="41"/>
        <v>12.994678787878785</v>
      </c>
      <c r="G168" s="324" t="str">
        <f t="shared" si="44"/>
        <v>no</v>
      </c>
      <c r="H168" s="324">
        <f t="shared" si="45"/>
        <v>5.3212121212151686E-3</v>
      </c>
      <c r="I168" s="531" t="s">
        <v>298</v>
      </c>
      <c r="J168" s="324">
        <f>H168+C169</f>
        <v>6.3553212121212148</v>
      </c>
      <c r="K168" s="324" t="str">
        <f t="shared" si="47"/>
        <v>no</v>
      </c>
      <c r="L168" s="594">
        <f t="shared" si="46"/>
        <v>8.3798616082128644E-2</v>
      </c>
    </row>
    <row r="169" spans="1:12">
      <c r="A169" s="11" t="s">
        <v>89</v>
      </c>
      <c r="B169" s="334">
        <v>0.25</v>
      </c>
      <c r="C169" s="439">
        <f t="shared" si="42"/>
        <v>6.35</v>
      </c>
      <c r="D169" s="324">
        <f>(C169+C151)/2</f>
        <v>3.4798</v>
      </c>
      <c r="E169" s="439">
        <f>C169</f>
        <v>6.35</v>
      </c>
      <c r="F169" s="324">
        <f t="shared" si="41"/>
        <v>12.995333333333331</v>
      </c>
      <c r="G169" s="324" t="str">
        <f t="shared" si="44"/>
        <v>no</v>
      </c>
      <c r="H169" s="324">
        <f t="shared" si="45"/>
        <v>4.6666666666688172E-3</v>
      </c>
      <c r="I169" s="531" t="s">
        <v>299</v>
      </c>
      <c r="J169" s="324">
        <f>H169+C151</f>
        <v>0.61426666666666885</v>
      </c>
      <c r="K169" s="324" t="str">
        <f>IF(AND(J169&lt;=E169,J169&gt;=C152), "yes","no")</f>
        <v>yes</v>
      </c>
      <c r="L169" s="594">
        <f t="shared" si="46"/>
        <v>-90.326509186351672</v>
      </c>
    </row>
    <row r="170" spans="1:12">
      <c r="A170" s="32" t="s">
        <v>245</v>
      </c>
      <c r="B170" s="368">
        <v>0.248</v>
      </c>
      <c r="C170" s="440">
        <f t="shared" si="42"/>
        <v>6.2991999999999999</v>
      </c>
      <c r="D170" s="368">
        <f>(C170+C152)/2</f>
        <v>3.4544000000000001</v>
      </c>
      <c r="E170" s="440">
        <f>C170</f>
        <v>6.2991999999999999</v>
      </c>
      <c r="F170" s="438">
        <f t="shared" si="41"/>
        <v>13.0017</v>
      </c>
      <c r="G170" s="368" t="str">
        <f t="shared" si="44"/>
        <v>yes</v>
      </c>
      <c r="H170" s="368">
        <f t="shared" si="45"/>
        <v>-1.6999999999995907E-3</v>
      </c>
      <c r="I170" s="438" t="s">
        <v>300</v>
      </c>
      <c r="J170" s="368">
        <f>H170+C152</f>
        <v>0.60790000000000044</v>
      </c>
      <c r="K170" s="368" t="str">
        <f>IF(AND(J170&lt;=E170,J170&gt;=C153), "yes","no")</f>
        <v>yes</v>
      </c>
      <c r="L170" s="601">
        <f t="shared" si="46"/>
        <v>-90.349568199136385</v>
      </c>
    </row>
    <row r="171" spans="1:12">
      <c r="A171" s="11"/>
      <c r="B171" s="324"/>
      <c r="C171" s="324"/>
      <c r="D171" s="324"/>
      <c r="E171" s="324"/>
      <c r="F171" s="324"/>
      <c r="G171" s="324"/>
      <c r="H171" s="324"/>
      <c r="I171" s="324"/>
      <c r="J171" s="324"/>
      <c r="K171" s="324"/>
      <c r="L171" s="377"/>
    </row>
    <row r="172" spans="1:12">
      <c r="A172" s="11"/>
      <c r="B172" s="324"/>
      <c r="C172" s="324"/>
      <c r="D172" s="324"/>
      <c r="E172" s="324"/>
      <c r="F172" s="324"/>
      <c r="G172" s="324"/>
      <c r="H172" s="324"/>
      <c r="I172" s="324"/>
      <c r="J172" s="324"/>
      <c r="K172" s="324"/>
      <c r="L172" s="377"/>
    </row>
    <row r="173" spans="1:12">
      <c r="A173" s="11"/>
      <c r="B173" s="324"/>
      <c r="C173" s="324"/>
      <c r="D173" s="324"/>
      <c r="E173" s="324"/>
      <c r="F173" s="324"/>
      <c r="G173" s="324"/>
      <c r="H173" s="324"/>
      <c r="I173" s="324"/>
      <c r="J173" s="324"/>
      <c r="K173" s="324"/>
      <c r="L173" s="377"/>
    </row>
    <row r="174" spans="1:12" ht="21">
      <c r="A174" s="526" t="s">
        <v>496</v>
      </c>
      <c r="B174" s="600"/>
      <c r="C174" s="600"/>
      <c r="D174" s="600"/>
      <c r="E174" s="600"/>
      <c r="F174" s="600"/>
      <c r="G174" s="600"/>
      <c r="H174" s="600"/>
      <c r="I174" s="600"/>
      <c r="J174" s="600"/>
      <c r="K174" s="600"/>
      <c r="L174" s="600"/>
    </row>
    <row r="175" spans="1:12" ht="15.75">
      <c r="A175" s="600" t="s">
        <v>483</v>
      </c>
      <c r="B175" s="600">
        <v>1E-3</v>
      </c>
      <c r="C175" s="600" t="s">
        <v>237</v>
      </c>
      <c r="D175" s="600"/>
      <c r="E175" s="600"/>
      <c r="F175" s="600"/>
      <c r="G175" s="600"/>
      <c r="H175" s="600"/>
      <c r="I175" s="600"/>
      <c r="J175" s="600"/>
      <c r="K175" s="600"/>
      <c r="L175" s="600"/>
    </row>
    <row r="176" spans="1:12" ht="15.75">
      <c r="A176" s="600" t="s">
        <v>415</v>
      </c>
      <c r="B176" s="600">
        <v>13</v>
      </c>
      <c r="C176" s="600" t="s">
        <v>113</v>
      </c>
      <c r="D176" s="600"/>
      <c r="E176" s="600"/>
      <c r="F176" s="600"/>
      <c r="G176" s="600"/>
      <c r="H176" s="600"/>
      <c r="I176" s="600"/>
      <c r="J176" s="600"/>
      <c r="K176" s="600"/>
      <c r="L176" s="600"/>
    </row>
    <row r="178" spans="1:12" ht="21">
      <c r="A178" s="778" t="s">
        <v>494</v>
      </c>
      <c r="B178" s="778"/>
      <c r="D178" s="529" t="s">
        <v>476</v>
      </c>
      <c r="E178" s="4"/>
      <c r="F178" s="591" t="s">
        <v>467</v>
      </c>
      <c r="G178" s="591"/>
      <c r="H178" s="324"/>
      <c r="I178" s="592" t="s">
        <v>468</v>
      </c>
      <c r="J178" s="324"/>
      <c r="K178" s="324"/>
      <c r="L178" s="439"/>
    </row>
    <row r="179" spans="1:12">
      <c r="A179" s="11" t="s">
        <v>246</v>
      </c>
      <c r="B179" s="436" t="s">
        <v>484</v>
      </c>
      <c r="C179" s="379"/>
      <c r="D179" s="324" t="s">
        <v>475</v>
      </c>
      <c r="E179" s="379" t="s">
        <v>477</v>
      </c>
      <c r="F179" s="324" t="s">
        <v>466</v>
      </c>
      <c r="G179" s="324" t="s">
        <v>485</v>
      </c>
      <c r="H179" s="324" t="s">
        <v>467</v>
      </c>
      <c r="I179" s="531" t="s">
        <v>473</v>
      </c>
      <c r="J179" s="324" t="s">
        <v>468</v>
      </c>
      <c r="K179" s="324" t="s">
        <v>504</v>
      </c>
      <c r="L179" s="439" t="s">
        <v>481</v>
      </c>
    </row>
    <row r="180" spans="1:12">
      <c r="A180" s="32"/>
      <c r="B180" s="437" t="s">
        <v>112</v>
      </c>
      <c r="C180" s="393" t="s">
        <v>113</v>
      </c>
      <c r="D180" s="368" t="s">
        <v>113</v>
      </c>
      <c r="E180" s="393" t="s">
        <v>113</v>
      </c>
      <c r="F180" s="368" t="s">
        <v>113</v>
      </c>
      <c r="G180" s="368" t="s">
        <v>486</v>
      </c>
      <c r="H180" s="368" t="s">
        <v>113</v>
      </c>
      <c r="I180" s="438"/>
      <c r="J180" s="368" t="s">
        <v>113</v>
      </c>
      <c r="K180" s="368"/>
      <c r="L180" s="440" t="s">
        <v>113</v>
      </c>
    </row>
    <row r="181" spans="1:12">
      <c r="B181" s="436"/>
      <c r="C181" s="605"/>
      <c r="D181" s="324"/>
      <c r="E181" s="379"/>
      <c r="F181" s="324"/>
      <c r="G181" s="324"/>
      <c r="H181" s="324"/>
      <c r="I181" s="531"/>
      <c r="J181" s="324"/>
      <c r="K181" s="324"/>
      <c r="L181" s="439"/>
    </row>
    <row r="182" spans="1:12">
      <c r="A182" s="66" t="s">
        <v>6</v>
      </c>
      <c r="B182" s="334">
        <v>2.4E-2</v>
      </c>
      <c r="C182" s="439">
        <f>B182*25.4</f>
        <v>0.60960000000000003</v>
      </c>
      <c r="D182" s="324">
        <f>(C182+C184)/2</f>
        <v>0.58420000000000005</v>
      </c>
      <c r="E182" s="439">
        <f>C182</f>
        <v>0.60960000000000003</v>
      </c>
      <c r="F182" s="324">
        <f t="shared" ref="F182:F201" si="51">(C182+J43)*B43</f>
        <v>12.916799999999999</v>
      </c>
      <c r="G182" s="324" t="str">
        <f>IF(F182&gt;$B$145,"yes","no")</f>
        <v>no</v>
      </c>
      <c r="H182" s="324">
        <f>$B$145-F182</f>
        <v>8.3200000000001495E-2</v>
      </c>
      <c r="I182" s="531" t="s">
        <v>469</v>
      </c>
      <c r="J182" s="324">
        <f>H182+C184</f>
        <v>0.64200000000000146</v>
      </c>
      <c r="K182" s="324" t="str">
        <f>IF(AND(J182&lt;E182, J182&gt;C184), "yes","no")</f>
        <v>no</v>
      </c>
      <c r="L182" s="594">
        <f>((J182-E182)/E182)*100</f>
        <v>5.3149606299214938</v>
      </c>
    </row>
    <row r="183" spans="1:12">
      <c r="A183" s="66" t="s">
        <v>164</v>
      </c>
      <c r="B183" s="334">
        <v>2.4E-2</v>
      </c>
      <c r="C183" s="439">
        <f t="shared" ref="C183:C201" si="52">B183*25.4</f>
        <v>0.60960000000000003</v>
      </c>
      <c r="D183" s="324">
        <f>(C183+C185)/2</f>
        <v>0.58420000000000005</v>
      </c>
      <c r="E183" s="439">
        <f t="shared" ref="E183:E186" si="53">C185</f>
        <v>0.55879999999999996</v>
      </c>
      <c r="F183" s="324">
        <f t="shared" si="51"/>
        <v>12.927558620689656</v>
      </c>
      <c r="G183" s="324" t="str">
        <f t="shared" ref="G183:G201" si="54">IF(F183&gt;$B$145,"yes","no")</f>
        <v>no</v>
      </c>
      <c r="H183" s="324">
        <f t="shared" ref="H183:H201" si="55">$B$145-F183</f>
        <v>7.2441379310344445E-2</v>
      </c>
      <c r="I183" s="531" t="s">
        <v>470</v>
      </c>
      <c r="J183" s="324">
        <f>H183+C185</f>
        <v>0.63124137931034441</v>
      </c>
      <c r="K183" s="324" t="str">
        <f>IF(AND(J183&lt;E183, J183&gt;C185), "yes","no")</f>
        <v>no</v>
      </c>
      <c r="L183" s="594">
        <f t="shared" ref="L183:L201" si="56">((J183-E183)/E183)*100</f>
        <v>12.963740034063074</v>
      </c>
    </row>
    <row r="184" spans="1:12">
      <c r="A184" s="66" t="s">
        <v>9</v>
      </c>
      <c r="B184" s="334">
        <v>2.1999999999999999E-2</v>
      </c>
      <c r="C184" s="439">
        <f t="shared" si="52"/>
        <v>0.55879999999999996</v>
      </c>
      <c r="D184" s="324">
        <f>(C184+C186)/2</f>
        <v>0.60959999999999992</v>
      </c>
      <c r="E184" s="439">
        <f t="shared" si="53"/>
        <v>0.66039999999999999</v>
      </c>
      <c r="F184" s="324">
        <f t="shared" si="51"/>
        <v>12.711054545454537</v>
      </c>
      <c r="G184" s="324" t="str">
        <f t="shared" si="54"/>
        <v>no</v>
      </c>
      <c r="H184" s="324">
        <f t="shared" si="55"/>
        <v>0.28894545454546261</v>
      </c>
      <c r="I184" s="531" t="s">
        <v>471</v>
      </c>
      <c r="J184" s="324">
        <f>H184+C186</f>
        <v>0.9493454545454626</v>
      </c>
      <c r="K184" s="324" t="str">
        <f>IF(AND(J184&lt;=E184,J184&gt;=C184), "yes","no")</f>
        <v>no</v>
      </c>
      <c r="L184" s="594">
        <f t="shared" si="56"/>
        <v>43.753097296405606</v>
      </c>
    </row>
    <row r="185" spans="1:12">
      <c r="A185" s="66" t="s">
        <v>165</v>
      </c>
      <c r="B185" s="334">
        <v>2.1999999999999999E-2</v>
      </c>
      <c r="C185" s="439">
        <f t="shared" si="52"/>
        <v>0.55879999999999996</v>
      </c>
      <c r="D185" s="324">
        <f>(C185+C187)/2</f>
        <v>0.60959999999999992</v>
      </c>
      <c r="E185" s="439">
        <f t="shared" si="53"/>
        <v>0.66039999999999999</v>
      </c>
      <c r="F185" s="324">
        <f t="shared" si="51"/>
        <v>12.878140540540546</v>
      </c>
      <c r="G185" s="324" t="str">
        <f t="shared" si="54"/>
        <v>no</v>
      </c>
      <c r="H185" s="324">
        <f t="shared" si="55"/>
        <v>0.1218594594594542</v>
      </c>
      <c r="I185" s="602" t="s">
        <v>472</v>
      </c>
      <c r="J185" s="324">
        <f>H185+C187</f>
        <v>0.78225945945945419</v>
      </c>
      <c r="K185" s="324" t="str">
        <f t="shared" ref="K185:K199" si="57">IF(AND(J185&lt;=E185,J185&gt;=C185), "yes","no")</f>
        <v>no</v>
      </c>
      <c r="L185" s="594">
        <f t="shared" si="56"/>
        <v>18.452371208275924</v>
      </c>
    </row>
    <row r="186" spans="1:12">
      <c r="A186" s="66" t="s">
        <v>11</v>
      </c>
      <c r="B186" s="334">
        <v>2.5999999999999999E-2</v>
      </c>
      <c r="C186" s="439">
        <f t="shared" si="52"/>
        <v>0.66039999999999999</v>
      </c>
      <c r="D186" s="324">
        <f>(C186+C188)/2</f>
        <v>0.72389999999999999</v>
      </c>
      <c r="E186" s="439">
        <f t="shared" si="53"/>
        <v>0.78739999999999999</v>
      </c>
      <c r="F186" s="324">
        <f t="shared" si="51"/>
        <v>12.769399999999992</v>
      </c>
      <c r="G186" s="324" t="str">
        <f t="shared" si="54"/>
        <v>no</v>
      </c>
      <c r="H186" s="324">
        <f t="shared" si="55"/>
        <v>0.23060000000000791</v>
      </c>
      <c r="I186" s="531" t="s">
        <v>287</v>
      </c>
      <c r="J186" s="324">
        <f>H186+C188</f>
        <v>1.0180000000000078</v>
      </c>
      <c r="K186" s="324" t="str">
        <f t="shared" si="57"/>
        <v>no</v>
      </c>
      <c r="L186" s="594">
        <f t="shared" si="56"/>
        <v>29.286258572518136</v>
      </c>
    </row>
    <row r="187" spans="1:12">
      <c r="A187" s="66" t="s">
        <v>226</v>
      </c>
      <c r="B187" s="334">
        <v>2.5999999999999999E-2</v>
      </c>
      <c r="C187" s="439">
        <f t="shared" si="52"/>
        <v>0.66039999999999999</v>
      </c>
      <c r="D187" s="324">
        <f>(C187+C188)/2</f>
        <v>0.72389999999999999</v>
      </c>
      <c r="E187" s="439">
        <f>C188</f>
        <v>0.78739999999999999</v>
      </c>
      <c r="F187" s="324">
        <f t="shared" si="51"/>
        <v>12.922562162162166</v>
      </c>
      <c r="G187" s="324" t="str">
        <f t="shared" si="54"/>
        <v>no</v>
      </c>
      <c r="H187" s="324">
        <f t="shared" si="55"/>
        <v>7.7437837837834422E-2</v>
      </c>
      <c r="I187" s="531" t="s">
        <v>287</v>
      </c>
      <c r="J187" s="324">
        <f>H187+C188</f>
        <v>0.86483783783783441</v>
      </c>
      <c r="K187" s="324" t="str">
        <f t="shared" si="57"/>
        <v>no</v>
      </c>
      <c r="L187" s="594">
        <f t="shared" si="56"/>
        <v>9.8346250746551203</v>
      </c>
    </row>
    <row r="188" spans="1:12">
      <c r="A188" s="11" t="s">
        <v>13</v>
      </c>
      <c r="B188" s="334">
        <v>3.1E-2</v>
      </c>
      <c r="C188" s="439">
        <f t="shared" si="52"/>
        <v>0.78739999999999999</v>
      </c>
      <c r="D188" s="324">
        <f>(C188+C189)/2</f>
        <v>0.80010000000000003</v>
      </c>
      <c r="E188" s="439">
        <f t="shared" ref="E188:E190" si="58">C189</f>
        <v>0.81279999999999997</v>
      </c>
      <c r="F188" s="324">
        <f t="shared" si="51"/>
        <v>12.878545454545447</v>
      </c>
      <c r="G188" s="324" t="str">
        <f t="shared" si="54"/>
        <v>no</v>
      </c>
      <c r="H188" s="324">
        <f t="shared" si="55"/>
        <v>0.12145454545455259</v>
      </c>
      <c r="I188" s="531" t="s">
        <v>288</v>
      </c>
      <c r="J188" s="324">
        <f>H188+C189</f>
        <v>0.93425454545455255</v>
      </c>
      <c r="K188" s="324" t="str">
        <f t="shared" si="57"/>
        <v>no</v>
      </c>
      <c r="L188" s="594">
        <f t="shared" si="56"/>
        <v>14.942734430924284</v>
      </c>
    </row>
    <row r="189" spans="1:12">
      <c r="A189" s="11" t="s">
        <v>15</v>
      </c>
      <c r="B189" s="334">
        <v>3.2000000000000001E-2</v>
      </c>
      <c r="C189" s="439">
        <f t="shared" si="52"/>
        <v>0.81279999999999997</v>
      </c>
      <c r="D189" s="324">
        <f>(C189+C190)/2</f>
        <v>0.8254999999999999</v>
      </c>
      <c r="E189" s="439">
        <f t="shared" si="58"/>
        <v>0.83819999999999995</v>
      </c>
      <c r="F189" s="324">
        <f t="shared" si="51"/>
        <v>12.993699999999997</v>
      </c>
      <c r="G189" s="324" t="str">
        <f t="shared" si="54"/>
        <v>no</v>
      </c>
      <c r="H189" s="324">
        <f t="shared" si="55"/>
        <v>6.3000000000030809E-3</v>
      </c>
      <c r="I189" s="531" t="s">
        <v>289</v>
      </c>
      <c r="J189" s="324">
        <f>H189+C190</f>
        <v>0.84450000000000303</v>
      </c>
      <c r="K189" s="324" t="str">
        <f t="shared" si="57"/>
        <v>no</v>
      </c>
      <c r="L189" s="594">
        <f t="shared" si="56"/>
        <v>0.75161059413064679</v>
      </c>
    </row>
    <row r="190" spans="1:12">
      <c r="A190" s="11" t="s">
        <v>17</v>
      </c>
      <c r="B190" s="334">
        <v>3.3000000000000002E-2</v>
      </c>
      <c r="C190" s="439">
        <f t="shared" si="52"/>
        <v>0.83819999999999995</v>
      </c>
      <c r="D190" s="324">
        <f>(C190+C191)/2</f>
        <v>0.8889999999999999</v>
      </c>
      <c r="E190" s="439">
        <f t="shared" si="58"/>
        <v>0.93979999999999986</v>
      </c>
      <c r="F190" s="324">
        <f t="shared" si="51"/>
        <v>12.847504761904762</v>
      </c>
      <c r="G190" s="324" t="str">
        <f t="shared" si="54"/>
        <v>no</v>
      </c>
      <c r="H190" s="324">
        <f t="shared" si="55"/>
        <v>0.1524952380952378</v>
      </c>
      <c r="I190" s="531" t="s">
        <v>292</v>
      </c>
      <c r="J190" s="324">
        <f>H190+C191</f>
        <v>1.0922952380952378</v>
      </c>
      <c r="K190" s="324" t="str">
        <f t="shared" si="57"/>
        <v>no</v>
      </c>
      <c r="L190" s="594">
        <f t="shared" si="56"/>
        <v>16.226350084617781</v>
      </c>
    </row>
    <row r="191" spans="1:12">
      <c r="A191" s="11" t="s">
        <v>19</v>
      </c>
      <c r="B191" s="334">
        <v>3.6999999999999998E-2</v>
      </c>
      <c r="C191" s="439">
        <f t="shared" si="52"/>
        <v>0.93979999999999986</v>
      </c>
      <c r="D191" s="324">
        <f>(C191+C192)/2</f>
        <v>0.9524999999999999</v>
      </c>
      <c r="E191" s="439">
        <f>C193</f>
        <v>1.1175999999999999</v>
      </c>
      <c r="F191" s="324">
        <f t="shared" si="51"/>
        <v>12.828780180180164</v>
      </c>
      <c r="G191" s="324" t="str">
        <f t="shared" si="54"/>
        <v>no</v>
      </c>
      <c r="H191" s="324">
        <f t="shared" si="55"/>
        <v>0.17121981981983581</v>
      </c>
      <c r="I191" s="531" t="s">
        <v>290</v>
      </c>
      <c r="J191" s="324">
        <f>H191+C193</f>
        <v>1.2888198198198357</v>
      </c>
      <c r="K191" s="324" t="str">
        <f t="shared" si="57"/>
        <v>no</v>
      </c>
      <c r="L191" s="594">
        <f t="shared" si="56"/>
        <v>15.320313154960255</v>
      </c>
    </row>
    <row r="192" spans="1:12">
      <c r="A192" s="11" t="s">
        <v>168</v>
      </c>
      <c r="B192" s="334">
        <v>3.7999999999999999E-2</v>
      </c>
      <c r="C192" s="439">
        <f t="shared" si="52"/>
        <v>0.96519999999999995</v>
      </c>
      <c r="D192" s="324">
        <f>(C192+C194)/2</f>
        <v>1.0413999999999999</v>
      </c>
      <c r="E192" s="439">
        <f t="shared" ref="E192:E195" si="59">C194</f>
        <v>1.1175999999999999</v>
      </c>
      <c r="F192" s="324">
        <f t="shared" si="51"/>
        <v>12.930811764705883</v>
      </c>
      <c r="G192" s="324" t="str">
        <f t="shared" si="54"/>
        <v>no</v>
      </c>
      <c r="H192" s="324">
        <f t="shared" si="55"/>
        <v>6.9188235294117106E-2</v>
      </c>
      <c r="I192" s="531" t="s">
        <v>291</v>
      </c>
      <c r="J192" s="324">
        <f>H192+C194</f>
        <v>1.186788235294117</v>
      </c>
      <c r="K192" s="324" t="str">
        <f t="shared" si="57"/>
        <v>no</v>
      </c>
      <c r="L192" s="594">
        <f t="shared" si="56"/>
        <v>6.1907869805043942</v>
      </c>
    </row>
    <row r="193" spans="1:15">
      <c r="A193" s="11" t="s">
        <v>21</v>
      </c>
      <c r="B193" s="334">
        <v>4.3999999999999997E-2</v>
      </c>
      <c r="C193" s="439">
        <f t="shared" si="52"/>
        <v>1.1175999999999999</v>
      </c>
      <c r="D193" s="324">
        <f>(C193+C195)/2</f>
        <v>1.1938</v>
      </c>
      <c r="E193" s="439">
        <f t="shared" si="59"/>
        <v>1.27</v>
      </c>
      <c r="F193" s="324">
        <f t="shared" si="51"/>
        <v>12.848800000000002</v>
      </c>
      <c r="G193" s="324" t="str">
        <f t="shared" si="54"/>
        <v>no</v>
      </c>
      <c r="H193" s="324">
        <f t="shared" si="55"/>
        <v>0.15119999999999756</v>
      </c>
      <c r="I193" s="531" t="s">
        <v>293</v>
      </c>
      <c r="J193" s="324">
        <f>H193+C195</f>
        <v>1.4211999999999976</v>
      </c>
      <c r="K193" s="324" t="str">
        <f t="shared" si="57"/>
        <v>no</v>
      </c>
      <c r="L193" s="594">
        <f t="shared" si="56"/>
        <v>11.90551181102343</v>
      </c>
    </row>
    <row r="194" spans="1:15">
      <c r="A194" s="11" t="s">
        <v>243</v>
      </c>
      <c r="B194" s="334">
        <v>4.3999999999999997E-2</v>
      </c>
      <c r="C194" s="439">
        <f t="shared" si="52"/>
        <v>1.1175999999999999</v>
      </c>
      <c r="D194" s="324">
        <f>(C194+C196)/2</f>
        <v>1.2064999999999999</v>
      </c>
      <c r="E194" s="439">
        <f t="shared" si="59"/>
        <v>1.2953999999999999</v>
      </c>
      <c r="F194" s="324">
        <f t="shared" si="51"/>
        <v>12.864284210526318</v>
      </c>
      <c r="G194" s="324" t="str">
        <f t="shared" si="54"/>
        <v>no</v>
      </c>
      <c r="H194" s="324">
        <f t="shared" si="55"/>
        <v>0.13571578947368224</v>
      </c>
      <c r="I194" s="531" t="s">
        <v>294</v>
      </c>
      <c r="J194" s="324">
        <f>H194+C196</f>
        <v>1.4311157894736821</v>
      </c>
      <c r="K194" s="324" t="str">
        <f t="shared" si="57"/>
        <v>no</v>
      </c>
      <c r="L194" s="594">
        <f t="shared" si="56"/>
        <v>10.476747682081385</v>
      </c>
    </row>
    <row r="195" spans="1:15">
      <c r="A195" s="11" t="s">
        <v>22</v>
      </c>
      <c r="B195" s="334">
        <v>0.05</v>
      </c>
      <c r="C195" s="439">
        <f t="shared" si="52"/>
        <v>1.27</v>
      </c>
      <c r="D195" s="324">
        <f>(C195+C197)/2</f>
        <v>1.4859</v>
      </c>
      <c r="E195" s="439">
        <f t="shared" si="59"/>
        <v>1.7018</v>
      </c>
      <c r="F195" s="324">
        <f t="shared" si="51"/>
        <v>12.950396825396828</v>
      </c>
      <c r="G195" s="324" t="str">
        <f t="shared" si="54"/>
        <v>no</v>
      </c>
      <c r="H195" s="324">
        <f t="shared" si="55"/>
        <v>4.9603174603172207E-2</v>
      </c>
      <c r="I195" s="531" t="s">
        <v>295</v>
      </c>
      <c r="J195" s="324">
        <f>H195+C197</f>
        <v>1.7514031746031722</v>
      </c>
      <c r="K195" s="324" t="str">
        <f t="shared" si="57"/>
        <v>no</v>
      </c>
      <c r="L195" s="594">
        <f t="shared" si="56"/>
        <v>2.9147475968487604</v>
      </c>
    </row>
    <row r="196" spans="1:15">
      <c r="A196" s="11" t="s">
        <v>244</v>
      </c>
      <c r="B196" s="334">
        <v>5.0999999999999997E-2</v>
      </c>
      <c r="C196" s="439">
        <f t="shared" si="52"/>
        <v>1.2953999999999999</v>
      </c>
      <c r="D196" s="324">
        <f>(C196+C197)/2</f>
        <v>1.4985999999999999</v>
      </c>
      <c r="E196" s="439">
        <f>C197</f>
        <v>1.7018</v>
      </c>
      <c r="F196" s="324">
        <f t="shared" si="51"/>
        <v>12.887714285714287</v>
      </c>
      <c r="G196" s="324" t="str">
        <f t="shared" si="54"/>
        <v>no</v>
      </c>
      <c r="H196" s="324">
        <f t="shared" si="55"/>
        <v>0.11228571428571321</v>
      </c>
      <c r="I196" s="531" t="s">
        <v>295</v>
      </c>
      <c r="J196" s="324">
        <f>H196+C197</f>
        <v>1.8140857142857132</v>
      </c>
      <c r="K196" s="324" t="str">
        <f t="shared" si="57"/>
        <v>no</v>
      </c>
      <c r="L196" s="594">
        <f t="shared" si="56"/>
        <v>6.5980558400348581</v>
      </c>
    </row>
    <row r="197" spans="1:15">
      <c r="A197" s="11" t="s">
        <v>24</v>
      </c>
      <c r="B197" s="334">
        <v>6.7000000000000004E-2</v>
      </c>
      <c r="C197" s="439">
        <f t="shared" si="52"/>
        <v>1.7018</v>
      </c>
      <c r="D197" s="324">
        <f>(C197+C198)/2</f>
        <v>2.0192999999999999</v>
      </c>
      <c r="E197" s="439">
        <f t="shared" ref="E197:E199" si="60">C198</f>
        <v>2.3367999999999998</v>
      </c>
      <c r="F197" s="324">
        <f t="shared" si="51"/>
        <v>12.975533333333335</v>
      </c>
      <c r="G197" s="324" t="str">
        <f t="shared" si="54"/>
        <v>no</v>
      </c>
      <c r="H197" s="324">
        <f t="shared" si="55"/>
        <v>2.4466666666665304E-2</v>
      </c>
      <c r="I197" s="531" t="s">
        <v>296</v>
      </c>
      <c r="J197" s="324">
        <f>H197+C198</f>
        <v>2.3612666666666651</v>
      </c>
      <c r="K197" s="324" t="str">
        <f t="shared" si="57"/>
        <v>no</v>
      </c>
      <c r="L197" s="594">
        <f t="shared" si="56"/>
        <v>1.047015862147608</v>
      </c>
    </row>
    <row r="198" spans="1:15">
      <c r="A198" s="11" t="s">
        <v>26</v>
      </c>
      <c r="B198" s="334">
        <v>9.1999999999999998E-2</v>
      </c>
      <c r="C198" s="439">
        <f t="shared" si="52"/>
        <v>2.3367999999999998</v>
      </c>
      <c r="D198" s="324">
        <f>(C198+C199)/2</f>
        <v>2.7050999999999998</v>
      </c>
      <c r="E198" s="439">
        <f t="shared" si="60"/>
        <v>3.0733999999999999</v>
      </c>
      <c r="F198" s="324">
        <f t="shared" si="51"/>
        <v>12.974774999999996</v>
      </c>
      <c r="G198" s="324" t="str">
        <f t="shared" si="54"/>
        <v>no</v>
      </c>
      <c r="H198" s="324">
        <f t="shared" si="55"/>
        <v>2.5225000000004272E-2</v>
      </c>
      <c r="I198" s="531" t="s">
        <v>297</v>
      </c>
      <c r="J198" s="324">
        <f>H198+C199</f>
        <v>3.0986250000000042</v>
      </c>
      <c r="K198" s="324" t="str">
        <f t="shared" si="57"/>
        <v>no</v>
      </c>
      <c r="L198" s="594">
        <f t="shared" si="56"/>
        <v>0.82075226133937251</v>
      </c>
    </row>
    <row r="199" spans="1:15">
      <c r="A199" s="11" t="s">
        <v>239</v>
      </c>
      <c r="B199" s="334">
        <v>0.121</v>
      </c>
      <c r="C199" s="439">
        <f t="shared" si="52"/>
        <v>3.0733999999999999</v>
      </c>
      <c r="D199" s="324">
        <f>(C199+C200)/2</f>
        <v>4.7116999999999996</v>
      </c>
      <c r="E199" s="439">
        <f t="shared" si="60"/>
        <v>6.35</v>
      </c>
      <c r="F199" s="324">
        <f t="shared" si="51"/>
        <v>12.994678787878785</v>
      </c>
      <c r="G199" s="324" t="str">
        <f t="shared" si="54"/>
        <v>no</v>
      </c>
      <c r="H199" s="324">
        <f t="shared" si="55"/>
        <v>5.3212121212151686E-3</v>
      </c>
      <c r="I199" s="531" t="s">
        <v>298</v>
      </c>
      <c r="J199" s="324">
        <f>H199+C200</f>
        <v>6.3553212121212148</v>
      </c>
      <c r="K199" s="324" t="str">
        <f t="shared" si="57"/>
        <v>no</v>
      </c>
      <c r="L199" s="594">
        <f t="shared" si="56"/>
        <v>8.3798616082128644E-2</v>
      </c>
    </row>
    <row r="200" spans="1:15">
      <c r="A200" s="11" t="s">
        <v>89</v>
      </c>
      <c r="B200" s="334">
        <v>0.25</v>
      </c>
      <c r="C200" s="439">
        <f t="shared" si="52"/>
        <v>6.35</v>
      </c>
      <c r="D200" s="324">
        <f>(C200+C182)/2</f>
        <v>3.4798</v>
      </c>
      <c r="E200" s="439">
        <f>D200</f>
        <v>3.4798</v>
      </c>
      <c r="F200" s="324">
        <f t="shared" si="51"/>
        <v>12.995333333333331</v>
      </c>
      <c r="G200" s="324" t="str">
        <f t="shared" si="54"/>
        <v>no</v>
      </c>
      <c r="H200" s="324">
        <f t="shared" si="55"/>
        <v>4.6666666666688172E-3</v>
      </c>
      <c r="I200" s="531" t="s">
        <v>299</v>
      </c>
      <c r="J200" s="324">
        <f>H200+C182</f>
        <v>0.61426666666666885</v>
      </c>
      <c r="K200" s="324" t="str">
        <f>IF(AND(J200&lt;=E200,J200&gt;=C182),"yes","no")</f>
        <v>yes</v>
      </c>
      <c r="L200" s="594">
        <f t="shared" si="56"/>
        <v>-82.347644500641735</v>
      </c>
    </row>
    <row r="201" spans="1:15">
      <c r="A201" s="32" t="s">
        <v>245</v>
      </c>
      <c r="B201" s="368">
        <v>2.47E-2</v>
      </c>
      <c r="C201" s="440">
        <f t="shared" si="52"/>
        <v>0.62737999999999994</v>
      </c>
      <c r="D201" s="368">
        <f>(C201+C183)/2</f>
        <v>0.61848999999999998</v>
      </c>
      <c r="E201" s="440">
        <f>D201</f>
        <v>0.61848999999999998</v>
      </c>
      <c r="F201" s="368">
        <f t="shared" si="51"/>
        <v>7.3298800000000002</v>
      </c>
      <c r="G201" s="368" t="str">
        <f t="shared" si="54"/>
        <v>no</v>
      </c>
      <c r="H201" s="368">
        <f t="shared" si="55"/>
        <v>5.6701199999999998</v>
      </c>
      <c r="I201" s="438" t="s">
        <v>300</v>
      </c>
      <c r="J201" s="368">
        <f>H201+C183</f>
        <v>6.2797200000000002</v>
      </c>
      <c r="K201" s="368" t="str">
        <f>IF(AND(J201&lt;=E201,J201&gt;=C183),"yes","no")</f>
        <v>no</v>
      </c>
      <c r="L201" s="601">
        <f t="shared" si="56"/>
        <v>915.33088651392904</v>
      </c>
    </row>
    <row r="202" spans="1:15">
      <c r="A202" s="11"/>
      <c r="B202" s="324"/>
      <c r="C202" s="324"/>
      <c r="D202" s="324"/>
      <c r="E202" s="324"/>
      <c r="F202" s="324"/>
      <c r="G202" s="324"/>
      <c r="H202" s="324"/>
      <c r="I202" s="324"/>
      <c r="J202" s="324"/>
      <c r="K202" s="324"/>
      <c r="L202" s="377"/>
    </row>
    <row r="203" spans="1:15">
      <c r="A203" s="11"/>
      <c r="B203" s="324"/>
      <c r="C203" s="324"/>
      <c r="D203" s="324"/>
      <c r="E203" s="324"/>
      <c r="F203" s="324"/>
      <c r="G203" s="324"/>
      <c r="H203" s="324"/>
      <c r="I203" s="324"/>
      <c r="J203" s="324"/>
      <c r="K203" s="324"/>
      <c r="L203" s="377"/>
    </row>
    <row r="204" spans="1:15">
      <c r="A204" s="11"/>
      <c r="B204" s="324"/>
      <c r="C204" s="324"/>
      <c r="D204" s="324"/>
      <c r="E204" s="324"/>
      <c r="F204" s="324"/>
      <c r="G204" s="324"/>
      <c r="H204" s="324"/>
      <c r="I204" s="324"/>
      <c r="J204" s="324"/>
      <c r="K204" s="324"/>
      <c r="L204" s="377"/>
    </row>
    <row r="205" spans="1:15" ht="15.75" thickBot="1">
      <c r="A205" s="11"/>
      <c r="B205" s="324"/>
      <c r="C205" s="324"/>
      <c r="D205" s="324"/>
      <c r="E205" s="324"/>
      <c r="F205" s="324"/>
      <c r="G205" s="324"/>
      <c r="H205" s="324"/>
      <c r="I205" s="324"/>
      <c r="J205" s="324"/>
      <c r="K205" s="324"/>
      <c r="L205" s="377"/>
    </row>
    <row r="206" spans="1:15">
      <c r="A206" s="317"/>
      <c r="B206" s="622"/>
      <c r="C206" s="622"/>
      <c r="D206" s="622"/>
      <c r="E206" s="622"/>
      <c r="F206" s="622"/>
      <c r="G206" s="622"/>
      <c r="H206" s="622"/>
      <c r="I206" s="622"/>
      <c r="J206" s="622"/>
      <c r="K206" s="622"/>
      <c r="L206" s="623"/>
      <c r="M206" s="406"/>
      <c r="N206" s="406"/>
      <c r="O206" s="407"/>
    </row>
    <row r="207" spans="1:15" ht="21">
      <c r="A207" s="568" t="s">
        <v>497</v>
      </c>
      <c r="B207" s="324"/>
      <c r="C207" s="324"/>
      <c r="D207" s="324"/>
      <c r="E207" s="324"/>
      <c r="F207" s="324"/>
      <c r="G207" s="324"/>
      <c r="H207" s="324"/>
      <c r="I207" s="324"/>
      <c r="J207" s="324"/>
      <c r="K207" s="324"/>
      <c r="L207" s="377"/>
      <c r="M207" s="11"/>
      <c r="N207" s="11"/>
      <c r="O207" s="322"/>
    </row>
    <row r="208" spans="1:15" ht="15.75">
      <c r="A208" s="624" t="s">
        <v>483</v>
      </c>
      <c r="B208" s="625">
        <v>1E-3</v>
      </c>
      <c r="C208" s="625" t="s">
        <v>237</v>
      </c>
      <c r="D208" s="625"/>
      <c r="E208" s="625"/>
      <c r="F208" s="625"/>
      <c r="G208" s="625"/>
      <c r="H208" s="625"/>
      <c r="I208" s="625"/>
      <c r="J208" s="625"/>
      <c r="K208" s="625"/>
      <c r="L208" s="625"/>
      <c r="M208" s="11"/>
      <c r="N208" s="11"/>
      <c r="O208" s="322"/>
    </row>
    <row r="209" spans="1:15" ht="15.75">
      <c r="A209" s="624" t="s">
        <v>415</v>
      </c>
      <c r="B209" s="625">
        <v>13</v>
      </c>
      <c r="C209" s="625" t="s">
        <v>113</v>
      </c>
      <c r="D209" s="625"/>
      <c r="E209" s="625"/>
      <c r="F209" s="625"/>
      <c r="G209" s="625"/>
      <c r="H209" s="625"/>
      <c r="I209" s="625"/>
      <c r="J209" s="625"/>
      <c r="K209" s="625"/>
      <c r="L209" s="625"/>
      <c r="M209" s="11"/>
      <c r="N209" s="11"/>
      <c r="O209" s="322"/>
    </row>
    <row r="210" spans="1:15">
      <c r="A210" s="319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322"/>
    </row>
    <row r="211" spans="1:15" ht="21">
      <c r="A211" s="782" t="s">
        <v>494</v>
      </c>
      <c r="B211" s="780"/>
      <c r="C211" s="11"/>
      <c r="D211" s="529" t="s">
        <v>476</v>
      </c>
      <c r="E211" s="4"/>
      <c r="F211" s="591" t="s">
        <v>411</v>
      </c>
      <c r="G211" s="11"/>
      <c r="H211" s="591"/>
      <c r="I211" s="324"/>
      <c r="J211" s="592" t="s">
        <v>468</v>
      </c>
      <c r="K211" s="324"/>
      <c r="L211" s="324"/>
      <c r="M211" s="324"/>
      <c r="N211" s="4"/>
      <c r="O211" s="322"/>
    </row>
    <row r="212" spans="1:15">
      <c r="A212" s="319" t="s">
        <v>246</v>
      </c>
      <c r="B212" s="643" t="s">
        <v>484</v>
      </c>
      <c r="C212" s="379"/>
      <c r="D212" s="324" t="s">
        <v>475</v>
      </c>
      <c r="E212" s="379" t="s">
        <v>477</v>
      </c>
      <c r="F212" s="460" t="s">
        <v>487</v>
      </c>
      <c r="G212" s="324" t="s">
        <v>466</v>
      </c>
      <c r="H212" s="324" t="s">
        <v>485</v>
      </c>
      <c r="I212" s="324" t="s">
        <v>467</v>
      </c>
      <c r="J212" s="531" t="s">
        <v>508</v>
      </c>
      <c r="K212" s="324" t="s">
        <v>468</v>
      </c>
      <c r="L212" s="324" t="s">
        <v>504</v>
      </c>
      <c r="M212" s="607" t="s">
        <v>511</v>
      </c>
      <c r="N212" s="439" t="s">
        <v>481</v>
      </c>
      <c r="O212" s="322"/>
    </row>
    <row r="213" spans="1:15">
      <c r="A213" s="571"/>
      <c r="B213" s="644" t="s">
        <v>112</v>
      </c>
      <c r="C213" s="393" t="s">
        <v>113</v>
      </c>
      <c r="D213" s="368" t="s">
        <v>113</v>
      </c>
      <c r="E213" s="393" t="s">
        <v>113</v>
      </c>
      <c r="F213" s="465" t="s">
        <v>488</v>
      </c>
      <c r="G213" s="368" t="s">
        <v>113</v>
      </c>
      <c r="H213" s="368" t="s">
        <v>486</v>
      </c>
      <c r="I213" s="368" t="s">
        <v>113</v>
      </c>
      <c r="J213" s="438" t="s">
        <v>509</v>
      </c>
      <c r="K213" s="368" t="s">
        <v>113</v>
      </c>
      <c r="L213" s="368"/>
      <c r="M213" s="342" t="s">
        <v>510</v>
      </c>
      <c r="N213" s="440" t="s">
        <v>503</v>
      </c>
      <c r="O213" s="322"/>
    </row>
    <row r="214" spans="1:15">
      <c r="A214" s="319"/>
      <c r="B214" s="643"/>
      <c r="C214" s="605"/>
      <c r="D214" s="324"/>
      <c r="E214" s="379"/>
      <c r="F214" s="460"/>
      <c r="G214" s="324"/>
      <c r="H214" s="324"/>
      <c r="I214" s="324"/>
      <c r="J214" s="531"/>
      <c r="K214" s="324"/>
      <c r="L214" s="324"/>
      <c r="M214" s="607"/>
      <c r="N214" s="439"/>
      <c r="O214" s="322"/>
    </row>
    <row r="215" spans="1:15">
      <c r="A215" s="319" t="s">
        <v>489</v>
      </c>
      <c r="B215" s="474">
        <v>0.02</v>
      </c>
      <c r="C215" s="379">
        <f>B215*25.4</f>
        <v>0.50800000000000001</v>
      </c>
      <c r="D215" s="324"/>
      <c r="E215" s="379"/>
      <c r="F215" s="460"/>
      <c r="G215" s="324"/>
      <c r="H215" s="324"/>
      <c r="I215" s="324"/>
      <c r="J215" s="531"/>
      <c r="K215" s="324"/>
      <c r="L215" s="324"/>
      <c r="M215" s="607"/>
      <c r="N215" s="439"/>
      <c r="O215" s="322"/>
    </row>
    <row r="216" spans="1:15">
      <c r="A216" s="570" t="s">
        <v>6</v>
      </c>
      <c r="B216" s="645">
        <v>2.4E-2</v>
      </c>
      <c r="C216" s="439">
        <f>B216*25.4</f>
        <v>0.60960000000000003</v>
      </c>
      <c r="D216" s="324">
        <f>(C216+C218)/2</f>
        <v>0.59689999999999999</v>
      </c>
      <c r="E216" s="439">
        <f>C216</f>
        <v>0.60960000000000003</v>
      </c>
      <c r="F216" s="645"/>
      <c r="G216" s="324">
        <f>(C216+J43)*B43</f>
        <v>12.916799999999999</v>
      </c>
      <c r="H216" s="324" t="str">
        <f>IF(G216&gt;$B$209, "yes", "no")</f>
        <v>no</v>
      </c>
      <c r="I216" s="324">
        <f>$B$209-G216</f>
        <v>8.3200000000001495E-2</v>
      </c>
      <c r="J216" s="531" t="str">
        <f>IF(F218=0,A218,F218)</f>
        <v>Bs</v>
      </c>
      <c r="K216" s="324">
        <f>I216+C219</f>
        <v>0.64200000000000146</v>
      </c>
      <c r="L216" s="324" t="str">
        <f>IF(AND(K216&lt;E216, K216&gt;C218), "yes", "no")</f>
        <v>no</v>
      </c>
      <c r="M216" s="607" t="str">
        <f t="shared" ref="M216:M233" si="61">IF(K216&gt;=C216,"yes","no")</f>
        <v>yes</v>
      </c>
      <c r="N216" s="594">
        <f t="shared" ref="N216:N235" si="62">((K216-E216)/E216)*100</f>
        <v>5.3149606299214938</v>
      </c>
      <c r="O216" s="322"/>
    </row>
    <row r="217" spans="1:15">
      <c r="A217" s="570" t="s">
        <v>164</v>
      </c>
      <c r="B217" s="645">
        <v>2.4E-2</v>
      </c>
      <c r="C217" s="439">
        <f t="shared" ref="C217:C235" si="63">B217*25.4</f>
        <v>0.60960000000000003</v>
      </c>
      <c r="D217" s="324">
        <f>(C217+C219)/2</f>
        <v>0.58420000000000005</v>
      </c>
      <c r="E217" s="439">
        <f>C217</f>
        <v>0.60960000000000003</v>
      </c>
      <c r="F217" s="645"/>
      <c r="G217" s="324">
        <f>(C217+J44)*B44</f>
        <v>12.927558620689656</v>
      </c>
      <c r="H217" s="324" t="str">
        <f t="shared" ref="H217:H235" si="64">IF(G217&gt;$B$209, "yes", "no")</f>
        <v>no</v>
      </c>
      <c r="I217" s="324">
        <f t="shared" ref="I217:I235" si="65">$B$209-G217</f>
        <v>7.2441379310344445E-2</v>
      </c>
      <c r="J217" s="531" t="str">
        <f>IF(F219=0,A219,F219)</f>
        <v>Bs</v>
      </c>
      <c r="K217" s="324">
        <f>I217+C219</f>
        <v>0.63124137931034441</v>
      </c>
      <c r="L217" s="324" t="str">
        <f>IF(AND(K217&lt;E217, K217&gt;C219), "yes", "no")</f>
        <v>no</v>
      </c>
      <c r="M217" s="607" t="str">
        <f t="shared" si="61"/>
        <v>yes</v>
      </c>
      <c r="N217" s="594">
        <f t="shared" si="62"/>
        <v>3.5500950312244712</v>
      </c>
      <c r="O217" s="322"/>
    </row>
    <row r="218" spans="1:15">
      <c r="A218" s="570" t="s">
        <v>9</v>
      </c>
      <c r="B218" s="645">
        <v>2.3E-2</v>
      </c>
      <c r="C218" s="439">
        <f t="shared" si="63"/>
        <v>0.58419999999999994</v>
      </c>
      <c r="D218" s="324">
        <f>(C218+C220)/2</f>
        <v>0.63500000000000001</v>
      </c>
      <c r="E218" s="439">
        <f t="shared" ref="E218:E220" si="66">C220</f>
        <v>0.68579999999999997</v>
      </c>
      <c r="F218" s="645" t="s">
        <v>165</v>
      </c>
      <c r="G218" s="324">
        <f>(C218+J45)*B45-C218+C219</f>
        <v>12.990454545454536</v>
      </c>
      <c r="H218" s="324" t="str">
        <f t="shared" si="64"/>
        <v>no</v>
      </c>
      <c r="I218" s="324">
        <f t="shared" si="65"/>
        <v>9.5454545454636275E-3</v>
      </c>
      <c r="J218" s="531" t="str">
        <f>IF(F220=0,A220,F220)</f>
        <v>A</v>
      </c>
      <c r="K218" s="324">
        <f>I218+C216</f>
        <v>0.61914545454546366</v>
      </c>
      <c r="L218" s="324" t="str">
        <f>IF(AND(K218&lt;E218, K218&gt;C218), "yes", "no")</f>
        <v>yes</v>
      </c>
      <c r="M218" s="607" t="str">
        <f t="shared" si="61"/>
        <v>yes</v>
      </c>
      <c r="N218" s="594">
        <f t="shared" si="62"/>
        <v>-9.7192396404981487</v>
      </c>
      <c r="O218" s="322"/>
    </row>
    <row r="219" spans="1:15">
      <c r="A219" s="570" t="s">
        <v>165</v>
      </c>
      <c r="B219" s="645">
        <v>2.1999999999999999E-2</v>
      </c>
      <c r="C219" s="439">
        <f t="shared" si="63"/>
        <v>0.55879999999999996</v>
      </c>
      <c r="D219" s="324">
        <f>(C219+C221)/2</f>
        <v>0.60959999999999992</v>
      </c>
      <c r="E219" s="439">
        <f t="shared" si="66"/>
        <v>0.66039999999999999</v>
      </c>
      <c r="F219" s="645"/>
      <c r="G219" s="324">
        <f>(C219+J46)*B46</f>
        <v>12.878140540540546</v>
      </c>
      <c r="H219" s="324" t="str">
        <f t="shared" si="64"/>
        <v>no</v>
      </c>
      <c r="I219" s="324">
        <f t="shared" si="65"/>
        <v>0.1218594594594542</v>
      </c>
      <c r="J219" s="531" t="str">
        <f>IF(F221=0,A221,F221)</f>
        <v>Cs</v>
      </c>
      <c r="K219" s="324">
        <f>I219+C221</f>
        <v>0.78225945945945419</v>
      </c>
      <c r="L219" s="324" t="str">
        <f t="shared" ref="L219:L234" si="67">IF(AND(K219&lt;E219, K219&gt;C219), "yes", "no")</f>
        <v>no</v>
      </c>
      <c r="M219" s="607" t="str">
        <f t="shared" si="61"/>
        <v>yes</v>
      </c>
      <c r="N219" s="594">
        <f t="shared" si="62"/>
        <v>18.452371208275924</v>
      </c>
      <c r="O219" s="322"/>
    </row>
    <row r="220" spans="1:15" s="538" customFormat="1">
      <c r="A220" s="626" t="s">
        <v>11</v>
      </c>
      <c r="B220" s="645">
        <v>2.7E-2</v>
      </c>
      <c r="C220" s="619">
        <f t="shared" si="63"/>
        <v>0.68579999999999997</v>
      </c>
      <c r="D220" s="578">
        <f>(C220+C222)/2</f>
        <v>0.73659999999999992</v>
      </c>
      <c r="E220" s="619">
        <f t="shared" si="66"/>
        <v>0.78739999999999999</v>
      </c>
      <c r="F220" s="645" t="s">
        <v>6</v>
      </c>
      <c r="G220" s="578">
        <f>(C220+J47)*B47-C220+C216</f>
        <v>12.972599999999989</v>
      </c>
      <c r="H220" s="578" t="str">
        <f t="shared" si="64"/>
        <v>no</v>
      </c>
      <c r="I220" s="578">
        <f t="shared" si="65"/>
        <v>2.7400000000010749E-2</v>
      </c>
      <c r="J220" s="581" t="str">
        <f>IF(F222=0,A222,F222)</f>
        <v>D</v>
      </c>
      <c r="K220" s="578">
        <f>I220+C222</f>
        <v>0.81480000000001074</v>
      </c>
      <c r="L220" s="578" t="str">
        <f t="shared" si="67"/>
        <v>no</v>
      </c>
      <c r="M220" s="607" t="str">
        <f t="shared" si="61"/>
        <v>yes</v>
      </c>
      <c r="N220" s="620">
        <f t="shared" si="62"/>
        <v>3.4798069596152845</v>
      </c>
      <c r="O220" s="420"/>
    </row>
    <row r="221" spans="1:15" s="538" customFormat="1">
      <c r="A221" s="626" t="s">
        <v>226</v>
      </c>
      <c r="B221" s="645">
        <v>2.5999999999999999E-2</v>
      </c>
      <c r="C221" s="619">
        <f t="shared" si="63"/>
        <v>0.66039999999999999</v>
      </c>
      <c r="D221" s="578">
        <f>(C221+C222)/2</f>
        <v>0.72389999999999999</v>
      </c>
      <c r="E221" s="619">
        <f>C222</f>
        <v>0.78739999999999999</v>
      </c>
      <c r="F221" s="645"/>
      <c r="G221" s="578">
        <f>(C221+J48)*B48</f>
        <v>12.922562162162166</v>
      </c>
      <c r="H221" s="578" t="str">
        <f t="shared" si="64"/>
        <v>no</v>
      </c>
      <c r="I221" s="578">
        <f t="shared" si="65"/>
        <v>7.7437837837834422E-2</v>
      </c>
      <c r="J221" s="581" t="str">
        <f>IF(F222=0,A222,F223)</f>
        <v>D</v>
      </c>
      <c r="K221" s="578">
        <f>I221+C222</f>
        <v>0.86483783783783441</v>
      </c>
      <c r="L221" s="578" t="str">
        <f t="shared" si="67"/>
        <v>no</v>
      </c>
      <c r="M221" s="607" t="str">
        <f t="shared" si="61"/>
        <v>yes</v>
      </c>
      <c r="N221" s="620">
        <f t="shared" si="62"/>
        <v>9.8346250746551203</v>
      </c>
      <c r="O221" s="420"/>
    </row>
    <row r="222" spans="1:15" s="538" customFormat="1">
      <c r="A222" s="627" t="s">
        <v>13</v>
      </c>
      <c r="B222" s="645">
        <v>3.1E-2</v>
      </c>
      <c r="C222" s="619">
        <f t="shared" si="63"/>
        <v>0.78739999999999999</v>
      </c>
      <c r="D222" s="578">
        <f>(C222+C223)/2</f>
        <v>0.80010000000000003</v>
      </c>
      <c r="E222" s="619">
        <f t="shared" ref="E222:E224" si="68">C223</f>
        <v>0.81279999999999997</v>
      </c>
      <c r="F222" s="645"/>
      <c r="G222" s="578">
        <f>(C222+J49)*B49</f>
        <v>12.878545454545447</v>
      </c>
      <c r="H222" s="578" t="str">
        <f t="shared" si="64"/>
        <v>no</v>
      </c>
      <c r="I222" s="578">
        <f t="shared" si="65"/>
        <v>0.12145454545455259</v>
      </c>
      <c r="J222" s="581" t="str">
        <f t="shared" ref="J222" si="69">IF(F223=0,A223,F224)</f>
        <v>E</v>
      </c>
      <c r="K222" s="578">
        <f>I222+C223</f>
        <v>0.93425454545455255</v>
      </c>
      <c r="L222" s="578" t="str">
        <f t="shared" si="67"/>
        <v>no</v>
      </c>
      <c r="M222" s="607" t="str">
        <f t="shared" si="61"/>
        <v>yes</v>
      </c>
      <c r="N222" s="620">
        <f t="shared" si="62"/>
        <v>14.942734430924284</v>
      </c>
      <c r="O222" s="420"/>
    </row>
    <row r="223" spans="1:15" s="538" customFormat="1">
      <c r="A223" s="627" t="s">
        <v>15</v>
      </c>
      <c r="B223" s="645">
        <v>3.2000000000000001E-2</v>
      </c>
      <c r="C223" s="619">
        <f t="shared" si="63"/>
        <v>0.81279999999999997</v>
      </c>
      <c r="D223" s="578">
        <f>(C223+C224)/2</f>
        <v>0.83820000000000006</v>
      </c>
      <c r="E223" s="619">
        <f t="shared" si="68"/>
        <v>0.86360000000000003</v>
      </c>
      <c r="F223" s="645"/>
      <c r="G223" s="578">
        <f>(C223+J50)*B50</f>
        <v>12.993699999999997</v>
      </c>
      <c r="H223" s="578" t="str">
        <f t="shared" si="64"/>
        <v>no</v>
      </c>
      <c r="I223" s="578">
        <f t="shared" si="65"/>
        <v>6.3000000000030809E-3</v>
      </c>
      <c r="J223" s="581" t="str">
        <f>IF(F224=0,A224,F224)</f>
        <v>E</v>
      </c>
      <c r="K223" s="578">
        <f>I223+C223</f>
        <v>0.81910000000000305</v>
      </c>
      <c r="L223" s="578" t="str">
        <f t="shared" si="67"/>
        <v>yes</v>
      </c>
      <c r="M223" s="607" t="str">
        <f t="shared" si="61"/>
        <v>yes</v>
      </c>
      <c r="N223" s="620">
        <f t="shared" si="62"/>
        <v>-5.15284854099085</v>
      </c>
      <c r="O223" s="420"/>
    </row>
    <row r="224" spans="1:15" s="538" customFormat="1">
      <c r="A224" s="627" t="s">
        <v>17</v>
      </c>
      <c r="B224" s="645">
        <v>3.4000000000000002E-2</v>
      </c>
      <c r="C224" s="619">
        <f t="shared" si="63"/>
        <v>0.86360000000000003</v>
      </c>
      <c r="D224" s="578">
        <f>(C224+C225)/2</f>
        <v>0.91439999999999999</v>
      </c>
      <c r="E224" s="619">
        <f t="shared" si="68"/>
        <v>0.96519999999999995</v>
      </c>
      <c r="F224" s="645" t="s">
        <v>15</v>
      </c>
      <c r="G224" s="578">
        <f>(C224+J51)*B51-C224+C223</f>
        <v>12.999904761904762</v>
      </c>
      <c r="H224" s="578" t="str">
        <f t="shared" si="64"/>
        <v>no</v>
      </c>
      <c r="I224" s="578">
        <f t="shared" si="65"/>
        <v>9.5238095237704101E-5</v>
      </c>
      <c r="J224" s="581" t="str">
        <f>IF(F225=0,A225,F225)</f>
        <v>F</v>
      </c>
      <c r="K224" s="578">
        <f>I224+C224</f>
        <v>0.86369523809523774</v>
      </c>
      <c r="L224" s="578" t="str">
        <f t="shared" si="67"/>
        <v>yes</v>
      </c>
      <c r="M224" s="607" t="str">
        <f t="shared" si="61"/>
        <v>yes</v>
      </c>
      <c r="N224" s="620">
        <f t="shared" si="62"/>
        <v>-10.516448601819542</v>
      </c>
      <c r="O224" s="420"/>
    </row>
    <row r="225" spans="1:15" s="538" customFormat="1">
      <c r="A225" s="627" t="s">
        <v>19</v>
      </c>
      <c r="B225" s="645">
        <v>3.7999999999999999E-2</v>
      </c>
      <c r="C225" s="619">
        <f t="shared" si="63"/>
        <v>0.96519999999999995</v>
      </c>
      <c r="D225" s="578">
        <f>(C225+C226)/2</f>
        <v>0.96519999999999995</v>
      </c>
      <c r="E225" s="619">
        <f>C227</f>
        <v>1.1175999999999999</v>
      </c>
      <c r="F225" s="645" t="s">
        <v>17</v>
      </c>
      <c r="G225" s="578">
        <f>(C225+J52)*B52-C225+C224</f>
        <v>12.904980180180166</v>
      </c>
      <c r="H225" s="578" t="str">
        <f t="shared" si="64"/>
        <v>no</v>
      </c>
      <c r="I225" s="578">
        <f t="shared" si="65"/>
        <v>9.5019819819833984E-2</v>
      </c>
      <c r="J225" s="581" t="str">
        <f>IF(F226=0,A227,F226)</f>
        <v>H</v>
      </c>
      <c r="K225" s="578">
        <f>I225+C227</f>
        <v>1.2126198198198339</v>
      </c>
      <c r="L225" s="578" t="str">
        <f t="shared" si="67"/>
        <v>no</v>
      </c>
      <c r="M225" s="607" t="str">
        <f t="shared" si="61"/>
        <v>yes</v>
      </c>
      <c r="N225" s="620">
        <f t="shared" si="62"/>
        <v>8.5021313367782732</v>
      </c>
      <c r="O225" s="420"/>
    </row>
    <row r="226" spans="1:15" s="538" customFormat="1">
      <c r="A226" s="627" t="s">
        <v>168</v>
      </c>
      <c r="B226" s="645">
        <v>3.7999999999999999E-2</v>
      </c>
      <c r="C226" s="619">
        <f t="shared" si="63"/>
        <v>0.96519999999999995</v>
      </c>
      <c r="D226" s="578">
        <f>(C226+C228)/2</f>
        <v>1.0413999999999999</v>
      </c>
      <c r="E226" s="619">
        <f t="shared" ref="E226:E229" si="70">C228</f>
        <v>1.1175999999999999</v>
      </c>
      <c r="F226" s="645"/>
      <c r="G226" s="578">
        <f>(C226+J53)*B53</f>
        <v>12.930811764705883</v>
      </c>
      <c r="H226" s="578" t="str">
        <f t="shared" si="64"/>
        <v>no</v>
      </c>
      <c r="I226" s="578">
        <f t="shared" si="65"/>
        <v>6.9188235294117106E-2</v>
      </c>
      <c r="J226" s="581" t="str">
        <f t="shared" ref="J226:J228" si="71">IF(F227=0,A228,F227)</f>
        <v>Hs</v>
      </c>
      <c r="K226" s="578">
        <f>I226+C228</f>
        <v>1.186788235294117</v>
      </c>
      <c r="L226" s="578" t="str">
        <f t="shared" si="67"/>
        <v>no</v>
      </c>
      <c r="M226" s="607" t="str">
        <f t="shared" si="61"/>
        <v>yes</v>
      </c>
      <c r="N226" s="620">
        <f t="shared" si="62"/>
        <v>6.1907869805043942</v>
      </c>
      <c r="O226" s="420"/>
    </row>
    <row r="227" spans="1:15" s="538" customFormat="1">
      <c r="A227" s="627" t="s">
        <v>21</v>
      </c>
      <c r="B227" s="645">
        <v>4.3999999999999997E-2</v>
      </c>
      <c r="C227" s="619">
        <f t="shared" si="63"/>
        <v>1.1175999999999999</v>
      </c>
      <c r="D227" s="578">
        <f>(C227+C229)/2</f>
        <v>1.1938</v>
      </c>
      <c r="E227" s="619">
        <f t="shared" si="70"/>
        <v>1.27</v>
      </c>
      <c r="F227" s="645"/>
      <c r="G227" s="578">
        <f>(C227+J54)*B54</f>
        <v>12.848800000000002</v>
      </c>
      <c r="H227" s="578" t="str">
        <f t="shared" si="64"/>
        <v>no</v>
      </c>
      <c r="I227" s="578">
        <f t="shared" si="65"/>
        <v>0.15119999999999756</v>
      </c>
      <c r="J227" s="581" t="str">
        <f t="shared" si="71"/>
        <v>I</v>
      </c>
      <c r="K227" s="578">
        <f>I227+C229</f>
        <v>1.4211999999999976</v>
      </c>
      <c r="L227" s="578" t="str">
        <f t="shared" si="67"/>
        <v>no</v>
      </c>
      <c r="M227" s="607" t="str">
        <f t="shared" si="61"/>
        <v>yes</v>
      </c>
      <c r="N227" s="620">
        <f t="shared" si="62"/>
        <v>11.90551181102343</v>
      </c>
      <c r="O227" s="420"/>
    </row>
    <row r="228" spans="1:15" s="538" customFormat="1">
      <c r="A228" s="627" t="s">
        <v>243</v>
      </c>
      <c r="B228" s="645">
        <v>4.3999999999999997E-2</v>
      </c>
      <c r="C228" s="619">
        <f t="shared" si="63"/>
        <v>1.1175999999999999</v>
      </c>
      <c r="D228" s="578">
        <f>(C228+C230)/2</f>
        <v>1.2191999999999998</v>
      </c>
      <c r="E228" s="619">
        <f t="shared" si="70"/>
        <v>1.3208</v>
      </c>
      <c r="F228" s="645"/>
      <c r="G228" s="578">
        <f>(C228+J55)*B55</f>
        <v>12.864284210526318</v>
      </c>
      <c r="H228" s="578" t="str">
        <f t="shared" si="64"/>
        <v>no</v>
      </c>
      <c r="I228" s="578">
        <f t="shared" si="65"/>
        <v>0.13571578947368224</v>
      </c>
      <c r="J228" s="581" t="str">
        <f t="shared" si="71"/>
        <v>Is</v>
      </c>
      <c r="K228" s="578">
        <f>I228+C230</f>
        <v>1.4565157894736822</v>
      </c>
      <c r="L228" s="578" t="str">
        <f t="shared" si="67"/>
        <v>no</v>
      </c>
      <c r="M228" s="607" t="str">
        <f t="shared" si="61"/>
        <v>yes</v>
      </c>
      <c r="N228" s="620">
        <f t="shared" si="62"/>
        <v>10.27527176511828</v>
      </c>
      <c r="O228" s="420"/>
    </row>
    <row r="229" spans="1:15" s="538" customFormat="1">
      <c r="A229" s="627" t="s">
        <v>22</v>
      </c>
      <c r="B229" s="645">
        <v>0.05</v>
      </c>
      <c r="C229" s="619">
        <f t="shared" si="63"/>
        <v>1.27</v>
      </c>
      <c r="D229" s="578">
        <f>(C229+C231)/2</f>
        <v>1.4859</v>
      </c>
      <c r="E229" s="619">
        <f t="shared" si="70"/>
        <v>1.7018</v>
      </c>
      <c r="F229" s="645"/>
      <c r="G229" s="578">
        <f>(C229+J56)*B56</f>
        <v>12.950396825396828</v>
      </c>
      <c r="H229" s="578" t="str">
        <f t="shared" si="64"/>
        <v>no</v>
      </c>
      <c r="I229" s="578">
        <f t="shared" si="65"/>
        <v>4.9603174603172207E-2</v>
      </c>
      <c r="J229" s="581" t="str">
        <f>IF(F231=0,A231,F231)</f>
        <v>J</v>
      </c>
      <c r="K229" s="578">
        <f>I229+C231</f>
        <v>1.7514031746031722</v>
      </c>
      <c r="L229" s="578" t="str">
        <f t="shared" si="67"/>
        <v>no</v>
      </c>
      <c r="M229" s="607" t="str">
        <f t="shared" si="61"/>
        <v>yes</v>
      </c>
      <c r="N229" s="620">
        <f t="shared" si="62"/>
        <v>2.9147475968487604</v>
      </c>
      <c r="O229" s="420"/>
    </row>
    <row r="230" spans="1:15" s="538" customFormat="1">
      <c r="A230" s="627" t="s">
        <v>244</v>
      </c>
      <c r="B230" s="645">
        <v>5.1999999999999998E-2</v>
      </c>
      <c r="C230" s="619">
        <f t="shared" si="63"/>
        <v>1.3208</v>
      </c>
      <c r="D230" s="578">
        <f>(C230+C231)/2</f>
        <v>1.5112999999999999</v>
      </c>
      <c r="E230" s="619">
        <f>C231</f>
        <v>1.7018</v>
      </c>
      <c r="F230" s="645" t="s">
        <v>22</v>
      </c>
      <c r="G230" s="578">
        <f>(C230+J57)*B57-C230+C229</f>
        <v>12.963914285714287</v>
      </c>
      <c r="H230" s="578" t="str">
        <f t="shared" si="64"/>
        <v>no</v>
      </c>
      <c r="I230" s="578">
        <f t="shared" si="65"/>
        <v>3.6085714285713166E-2</v>
      </c>
      <c r="J230" s="581" t="str">
        <f>IF(F231=0,A231,F231)</f>
        <v>J</v>
      </c>
      <c r="K230" s="578">
        <f>I230+C231</f>
        <v>1.7378857142857131</v>
      </c>
      <c r="L230" s="578" t="str">
        <f t="shared" si="67"/>
        <v>no</v>
      </c>
      <c r="M230" s="607" t="str">
        <f t="shared" si="61"/>
        <v>yes</v>
      </c>
      <c r="N230" s="620">
        <f t="shared" si="62"/>
        <v>2.1204438997363479</v>
      </c>
      <c r="O230" s="420"/>
    </row>
    <row r="231" spans="1:15">
      <c r="A231" s="319" t="s">
        <v>24</v>
      </c>
      <c r="B231" s="645">
        <v>6.7000000000000004E-2</v>
      </c>
      <c r="C231" s="439">
        <f t="shared" si="63"/>
        <v>1.7018</v>
      </c>
      <c r="D231" s="324">
        <f>(C231+C232)/2</f>
        <v>2.0192999999999999</v>
      </c>
      <c r="E231" s="439">
        <f t="shared" ref="E231:E233" si="72">C232</f>
        <v>2.3367999999999998</v>
      </c>
      <c r="F231" s="645"/>
      <c r="G231" s="324">
        <f>(C231+J58)*B58</f>
        <v>12.975533333333335</v>
      </c>
      <c r="H231" s="324" t="str">
        <f t="shared" si="64"/>
        <v>no</v>
      </c>
      <c r="I231" s="324">
        <f t="shared" si="65"/>
        <v>2.4466666666665304E-2</v>
      </c>
      <c r="J231" s="531" t="str">
        <f t="shared" ref="J231:J233" si="73">IF(F232=0,A232,F232)</f>
        <v>K</v>
      </c>
      <c r="K231" s="324">
        <f>I231+C232</f>
        <v>2.3612666666666651</v>
      </c>
      <c r="L231" s="324" t="str">
        <f t="shared" si="67"/>
        <v>no</v>
      </c>
      <c r="M231" s="607" t="str">
        <f t="shared" si="61"/>
        <v>yes</v>
      </c>
      <c r="N231" s="594">
        <f t="shared" si="62"/>
        <v>1.047015862147608</v>
      </c>
      <c r="O231" s="322"/>
    </row>
    <row r="232" spans="1:15">
      <c r="A232" s="319" t="s">
        <v>26</v>
      </c>
      <c r="B232" s="645">
        <v>9.1999999999999998E-2</v>
      </c>
      <c r="C232" s="439">
        <f t="shared" si="63"/>
        <v>2.3367999999999998</v>
      </c>
      <c r="D232" s="324">
        <f>(C232+C233)/2</f>
        <v>2.7050999999999998</v>
      </c>
      <c r="E232" s="439">
        <f t="shared" si="72"/>
        <v>3.0733999999999999</v>
      </c>
      <c r="F232" s="645"/>
      <c r="G232" s="324">
        <f>(C232+J59)*B59</f>
        <v>12.974774999999996</v>
      </c>
      <c r="H232" s="324" t="str">
        <f t="shared" si="64"/>
        <v>no</v>
      </c>
      <c r="I232" s="324">
        <f t="shared" si="65"/>
        <v>2.5225000000004272E-2</v>
      </c>
      <c r="J232" s="531" t="str">
        <f t="shared" si="73"/>
        <v>L</v>
      </c>
      <c r="K232" s="324">
        <f>I232+C233</f>
        <v>3.0986250000000042</v>
      </c>
      <c r="L232" s="324" t="str">
        <f t="shared" si="67"/>
        <v>no</v>
      </c>
      <c r="M232" s="607" t="str">
        <f t="shared" si="61"/>
        <v>yes</v>
      </c>
      <c r="N232" s="594">
        <f t="shared" si="62"/>
        <v>0.82075226133937251</v>
      </c>
      <c r="O232" s="322"/>
    </row>
    <row r="233" spans="1:15">
      <c r="A233" s="319" t="s">
        <v>239</v>
      </c>
      <c r="B233" s="645">
        <v>0.121</v>
      </c>
      <c r="C233" s="439">
        <f t="shared" si="63"/>
        <v>3.0733999999999999</v>
      </c>
      <c r="D233" s="324">
        <f>(C233+C234)/2</f>
        <v>4.7116999999999996</v>
      </c>
      <c r="E233" s="439">
        <f t="shared" si="72"/>
        <v>6.35</v>
      </c>
      <c r="F233" s="645"/>
      <c r="G233" s="324">
        <f>(C233+J60)*B60</f>
        <v>12.994678787878785</v>
      </c>
      <c r="H233" s="324" t="str">
        <f t="shared" si="64"/>
        <v>no</v>
      </c>
      <c r="I233" s="324">
        <f t="shared" si="65"/>
        <v>5.3212121212151686E-3</v>
      </c>
      <c r="J233" s="531" t="str">
        <f t="shared" si="73"/>
        <v>M</v>
      </c>
      <c r="K233" s="324">
        <f>I233+C234</f>
        <v>6.3553212121212148</v>
      </c>
      <c r="L233" s="324" t="str">
        <f t="shared" si="67"/>
        <v>no</v>
      </c>
      <c r="M233" s="607" t="str">
        <f t="shared" si="61"/>
        <v>yes</v>
      </c>
      <c r="N233" s="594">
        <f t="shared" si="62"/>
        <v>8.3798616082128644E-2</v>
      </c>
      <c r="O233" s="322"/>
    </row>
    <row r="234" spans="1:15">
      <c r="A234" s="319" t="s">
        <v>89</v>
      </c>
      <c r="B234" s="645">
        <v>0.25</v>
      </c>
      <c r="C234" s="439">
        <f t="shared" si="63"/>
        <v>6.35</v>
      </c>
      <c r="D234" s="324">
        <f>(C234+C216)/2</f>
        <v>3.4798</v>
      </c>
      <c r="E234" s="439">
        <f>C234</f>
        <v>6.35</v>
      </c>
      <c r="F234" s="645"/>
      <c r="G234" s="324">
        <f>(C234+J61)*B61</f>
        <v>12.995333333333331</v>
      </c>
      <c r="H234" s="324" t="str">
        <f t="shared" si="64"/>
        <v>no</v>
      </c>
      <c r="I234" s="324">
        <f t="shared" si="65"/>
        <v>4.6666666666688172E-3</v>
      </c>
      <c r="J234" s="531" t="s">
        <v>6</v>
      </c>
      <c r="K234" s="324">
        <f>I234+C216</f>
        <v>0.61426666666666885</v>
      </c>
      <c r="L234" s="324" t="str">
        <f t="shared" si="67"/>
        <v>no</v>
      </c>
      <c r="M234" s="607" t="str">
        <f>IF(K234&gt;=C216,"yes","no")</f>
        <v>yes</v>
      </c>
      <c r="N234" s="594">
        <f t="shared" si="62"/>
        <v>-90.326509186351672</v>
      </c>
      <c r="O234" s="322"/>
    </row>
    <row r="235" spans="1:15">
      <c r="A235" s="571" t="s">
        <v>245</v>
      </c>
      <c r="B235" s="646">
        <v>0.247</v>
      </c>
      <c r="C235" s="440">
        <f t="shared" si="63"/>
        <v>6.2737999999999996</v>
      </c>
      <c r="D235" s="368">
        <f>(C235+C217)/2</f>
        <v>3.4417</v>
      </c>
      <c r="E235" s="440">
        <f>C235</f>
        <v>6.2737999999999996</v>
      </c>
      <c r="F235" s="647"/>
      <c r="G235" s="368">
        <f>(C235+J62)*B62</f>
        <v>12.9763</v>
      </c>
      <c r="H235" s="368" t="str">
        <f t="shared" si="64"/>
        <v>no</v>
      </c>
      <c r="I235" s="440">
        <f t="shared" si="65"/>
        <v>2.3699999999999832E-2</v>
      </c>
      <c r="J235" s="438" t="s">
        <v>164</v>
      </c>
      <c r="K235" s="368">
        <f>I235+C217</f>
        <v>0.63329999999999986</v>
      </c>
      <c r="L235" s="368" t="str">
        <f>IF(AND(K235&lt;E235, K235&gt;C235), "yes", "no")</f>
        <v>no</v>
      </c>
      <c r="M235" s="342" t="str">
        <f>IF(K235&gt;=C216,"yes","no")</f>
        <v>yes</v>
      </c>
      <c r="N235" s="594">
        <f t="shared" si="62"/>
        <v>-89.905639325448689</v>
      </c>
      <c r="O235" s="322"/>
    </row>
    <row r="236" spans="1:15">
      <c r="A236" s="319"/>
      <c r="B236" s="324" t="s">
        <v>490</v>
      </c>
      <c r="C236" s="324"/>
      <c r="D236" s="324"/>
      <c r="E236" s="324"/>
      <c r="F236" s="324"/>
      <c r="G236" s="324"/>
      <c r="H236" s="324"/>
      <c r="I236" s="324"/>
      <c r="J236" s="324"/>
      <c r="K236" s="324"/>
      <c r="L236" s="377"/>
      <c r="M236" s="607"/>
      <c r="N236" s="11"/>
      <c r="O236" s="322"/>
    </row>
    <row r="237" spans="1:15">
      <c r="A237" s="319"/>
      <c r="B237" s="324"/>
      <c r="C237" s="324"/>
      <c r="D237" s="324"/>
      <c r="E237" s="324"/>
      <c r="F237" s="324"/>
      <c r="G237" s="324" t="s">
        <v>507</v>
      </c>
      <c r="H237" s="324"/>
      <c r="I237" s="324"/>
      <c r="J237" s="324"/>
      <c r="K237" s="324" t="s">
        <v>506</v>
      </c>
      <c r="L237" s="377"/>
      <c r="M237" s="11"/>
      <c r="N237" s="11"/>
      <c r="O237" s="322"/>
    </row>
    <row r="238" spans="1:15" ht="15.75" thickBot="1">
      <c r="A238" s="416"/>
      <c r="B238" s="331"/>
      <c r="C238" s="331"/>
      <c r="D238" s="331"/>
      <c r="E238" s="331"/>
      <c r="F238" s="331"/>
      <c r="G238" s="331"/>
      <c r="H238" s="331"/>
      <c r="I238" s="331"/>
      <c r="J238" s="331"/>
      <c r="K238" s="331"/>
      <c r="L238" s="628"/>
      <c r="M238" s="330"/>
      <c r="N238" s="330"/>
      <c r="O238" s="417"/>
    </row>
    <row r="239" spans="1:15">
      <c r="A239" s="11"/>
      <c r="B239" s="324"/>
      <c r="C239" s="324"/>
      <c r="D239" s="324"/>
      <c r="E239" s="324"/>
      <c r="F239" s="324"/>
      <c r="G239" s="324"/>
      <c r="H239" s="324"/>
      <c r="I239" s="324"/>
      <c r="J239" s="324"/>
      <c r="K239" s="324"/>
      <c r="L239" s="377"/>
    </row>
    <row r="240" spans="1:15">
      <c r="A240" s="11"/>
      <c r="B240" s="324"/>
      <c r="C240" s="324"/>
      <c r="D240" s="324"/>
      <c r="E240" s="324"/>
      <c r="F240" s="324"/>
      <c r="G240" s="324"/>
      <c r="H240" s="324"/>
      <c r="I240" s="324"/>
      <c r="J240" s="324"/>
      <c r="K240" s="324"/>
      <c r="L240" s="377"/>
    </row>
    <row r="241" spans="1:18">
      <c r="A241" s="11"/>
      <c r="B241" s="324"/>
      <c r="C241" s="324"/>
      <c r="D241" s="324"/>
      <c r="E241" s="324"/>
      <c r="F241" s="324"/>
      <c r="G241" s="324"/>
      <c r="H241" s="324"/>
      <c r="I241" s="324"/>
      <c r="J241" s="324"/>
      <c r="K241" s="324"/>
      <c r="L241" s="377"/>
    </row>
    <row r="242" spans="1:18" ht="21">
      <c r="A242" s="540" t="s">
        <v>498</v>
      </c>
      <c r="B242" s="324"/>
      <c r="C242" s="324"/>
      <c r="D242" s="324"/>
      <c r="E242" s="324"/>
      <c r="F242" s="324"/>
      <c r="G242" s="324"/>
      <c r="H242" s="324"/>
      <c r="I242" s="324"/>
      <c r="J242" s="633" t="s">
        <v>518</v>
      </c>
      <c r="K242" s="324"/>
      <c r="L242" s="377"/>
    </row>
    <row r="243" spans="1:18" ht="15.75">
      <c r="A243" s="600" t="s">
        <v>483</v>
      </c>
      <c r="B243" s="600">
        <v>1E-3</v>
      </c>
      <c r="C243" s="324"/>
      <c r="D243" s="324"/>
      <c r="E243" s="324"/>
      <c r="F243" s="324"/>
      <c r="G243" s="324"/>
      <c r="H243" s="324"/>
      <c r="I243" s="324"/>
      <c r="J243" s="324"/>
      <c r="K243" s="324"/>
      <c r="L243" s="377"/>
    </row>
    <row r="244" spans="1:18" ht="15.75">
      <c r="A244" s="600" t="s">
        <v>415</v>
      </c>
      <c r="B244" s="600">
        <v>13</v>
      </c>
      <c r="C244" s="324"/>
      <c r="D244" s="324"/>
      <c r="E244" s="324"/>
      <c r="F244" s="324"/>
      <c r="G244" s="324"/>
      <c r="H244" s="324"/>
      <c r="I244" s="324"/>
      <c r="J244" s="324"/>
      <c r="K244" s="324"/>
      <c r="L244" s="377"/>
    </row>
    <row r="245" spans="1:18">
      <c r="C245" s="324"/>
      <c r="D245" s="324"/>
      <c r="E245" s="324"/>
      <c r="F245" s="324"/>
      <c r="G245" s="324"/>
      <c r="H245" s="324"/>
      <c r="I245" s="324"/>
      <c r="J245" s="324"/>
      <c r="K245" s="324"/>
      <c r="L245" s="377"/>
    </row>
    <row r="246" spans="1:18" ht="21">
      <c r="A246" s="778" t="s">
        <v>494</v>
      </c>
      <c r="B246" s="778"/>
      <c r="C246" s="324"/>
      <c r="D246" s="324"/>
      <c r="E246" s="615" t="s">
        <v>502</v>
      </c>
      <c r="F246" s="324"/>
      <c r="G246" s="324"/>
      <c r="H246" s="616" t="s">
        <v>505</v>
      </c>
      <c r="J246" s="637" t="s">
        <v>516</v>
      </c>
      <c r="K246" s="387"/>
      <c r="L246" s="32"/>
      <c r="M246" s="32"/>
      <c r="N246" s="32"/>
      <c r="O246" s="32"/>
      <c r="P246" s="32"/>
      <c r="Q246" s="32"/>
      <c r="R246" s="32"/>
    </row>
    <row r="247" spans="1:18" ht="15.75" thickBot="1">
      <c r="A247" s="11" t="s">
        <v>246</v>
      </c>
      <c r="B247" s="222" t="s">
        <v>499</v>
      </c>
      <c r="C247" s="324" t="s">
        <v>500</v>
      </c>
      <c r="D247" s="324" t="s">
        <v>501</v>
      </c>
      <c r="E247" s="531" t="s">
        <v>6</v>
      </c>
      <c r="F247" s="324" t="s">
        <v>9</v>
      </c>
      <c r="G247" s="324" t="s">
        <v>11</v>
      </c>
      <c r="H247" s="617"/>
      <c r="J247" s="638"/>
      <c r="K247" s="377"/>
    </row>
    <row r="248" spans="1:18">
      <c r="A248" s="32"/>
      <c r="B248" s="430" t="s">
        <v>113</v>
      </c>
      <c r="C248" s="368" t="s">
        <v>113</v>
      </c>
      <c r="D248" s="368" t="s">
        <v>113</v>
      </c>
      <c r="E248" s="438"/>
      <c r="F248" s="368"/>
      <c r="G248" s="368"/>
      <c r="H248" s="618"/>
      <c r="J248" s="439" t="s">
        <v>146</v>
      </c>
      <c r="K248" s="40" t="s">
        <v>515</v>
      </c>
      <c r="L248" s="40" t="s">
        <v>149</v>
      </c>
    </row>
    <row r="249" spans="1:18">
      <c r="A249" s="11"/>
      <c r="B249" s="436"/>
      <c r="C249" s="324"/>
      <c r="D249" s="324"/>
      <c r="E249" s="531"/>
      <c r="F249" s="324"/>
      <c r="G249" s="324"/>
      <c r="H249" s="617"/>
      <c r="J249" s="439"/>
    </row>
    <row r="250" spans="1:18">
      <c r="A250" t="s">
        <v>489</v>
      </c>
      <c r="B250" s="604"/>
      <c r="D250" s="606">
        <f>C215</f>
        <v>0.50800000000000001</v>
      </c>
      <c r="E250" s="531"/>
      <c r="F250" s="324"/>
      <c r="G250" s="324"/>
      <c r="H250" s="617"/>
      <c r="J250" s="4"/>
    </row>
    <row r="251" spans="1:18">
      <c r="A251" s="66" t="s">
        <v>6</v>
      </c>
      <c r="B251" s="334">
        <f>C151</f>
        <v>0.60960000000000003</v>
      </c>
      <c r="C251" s="375">
        <f>C182</f>
        <v>0.60960000000000003</v>
      </c>
      <c r="D251" s="606">
        <f t="shared" ref="D251:D270" si="74">C216</f>
        <v>0.60960000000000003</v>
      </c>
      <c r="E251" s="531">
        <f>L151</f>
        <v>9.4816272965881563</v>
      </c>
      <c r="F251" s="324">
        <f>L182</f>
        <v>5.3149606299214938</v>
      </c>
      <c r="G251" s="324">
        <f>N216</f>
        <v>5.3149606299214938</v>
      </c>
      <c r="H251" s="617" t="str">
        <f>IF(F251=G251, "same", IF(F251&lt;G251,"B","C"))</f>
        <v>same</v>
      </c>
      <c r="J251" s="639">
        <v>-20</v>
      </c>
      <c r="K251" s="630">
        <v>-18</v>
      </c>
      <c r="L251" s="631">
        <v>2</v>
      </c>
    </row>
    <row r="252" spans="1:18">
      <c r="A252" s="66" t="s">
        <v>164</v>
      </c>
      <c r="B252" s="334">
        <f t="shared" ref="B252:B270" si="75">C152</f>
        <v>0.60960000000000003</v>
      </c>
      <c r="C252" s="375">
        <f t="shared" ref="C252:C270" si="76">C183</f>
        <v>0.60960000000000003</v>
      </c>
      <c r="D252" s="606">
        <f t="shared" si="74"/>
        <v>0.60960000000000003</v>
      </c>
      <c r="E252" s="531">
        <f t="shared" ref="E252:E270" si="77">L152</f>
        <v>12.963740034063074</v>
      </c>
      <c r="F252" s="324">
        <f t="shared" ref="F252:F270" si="78">L183</f>
        <v>12.963740034063074</v>
      </c>
      <c r="G252" s="324">
        <f t="shared" ref="G252:G270" si="79">N217</f>
        <v>3.5500950312244712</v>
      </c>
      <c r="H252" s="617" t="str">
        <f t="shared" ref="H252:H270" si="80">IF(F252=G252, "same", IF(F252&lt;G252,"B","C"))</f>
        <v>C</v>
      </c>
      <c r="J252" s="639">
        <f>J251+2</f>
        <v>-18</v>
      </c>
      <c r="K252" s="630">
        <v>-16</v>
      </c>
      <c r="L252" s="631">
        <v>0</v>
      </c>
    </row>
    <row r="253" spans="1:18">
      <c r="A253" s="66" t="s">
        <v>9</v>
      </c>
      <c r="B253" s="334">
        <f t="shared" si="75"/>
        <v>0.58419999999999994</v>
      </c>
      <c r="C253" s="375">
        <f t="shared" si="76"/>
        <v>0.55879999999999996</v>
      </c>
      <c r="D253" s="606">
        <f t="shared" si="74"/>
        <v>0.58419999999999994</v>
      </c>
      <c r="E253" s="531">
        <f t="shared" si="77"/>
        <v>-2.3118322330906675</v>
      </c>
      <c r="F253" s="324">
        <f t="shared" si="78"/>
        <v>43.753097296405606</v>
      </c>
      <c r="G253" s="324">
        <f t="shared" si="79"/>
        <v>-9.7192396404981487</v>
      </c>
      <c r="H253" s="617" t="str">
        <f t="shared" si="80"/>
        <v>C</v>
      </c>
      <c r="J253" s="639">
        <f t="shared" ref="J253:J271" si="81">J252+2</f>
        <v>-16</v>
      </c>
      <c r="K253" s="630">
        <v>-14</v>
      </c>
      <c r="L253" s="631">
        <v>0</v>
      </c>
    </row>
    <row r="254" spans="1:18">
      <c r="A254" s="66" t="s">
        <v>165</v>
      </c>
      <c r="B254" s="334">
        <f t="shared" si="75"/>
        <v>0.55879999999999996</v>
      </c>
      <c r="C254" s="375">
        <f t="shared" si="76"/>
        <v>0.55879999999999996</v>
      </c>
      <c r="D254" s="606">
        <f t="shared" si="74"/>
        <v>0.55879999999999996</v>
      </c>
      <c r="E254" s="531">
        <f t="shared" si="77"/>
        <v>18.452371208275924</v>
      </c>
      <c r="F254" s="324">
        <f t="shared" si="78"/>
        <v>18.452371208275924</v>
      </c>
      <c r="G254" s="324">
        <f t="shared" si="79"/>
        <v>18.452371208275924</v>
      </c>
      <c r="H254" s="617" t="str">
        <f t="shared" si="80"/>
        <v>same</v>
      </c>
      <c r="J254" s="639">
        <f t="shared" si="81"/>
        <v>-14</v>
      </c>
      <c r="K254" s="630">
        <v>-12</v>
      </c>
      <c r="L254" s="631">
        <v>0</v>
      </c>
    </row>
    <row r="255" spans="1:18">
      <c r="A255" s="66" t="s">
        <v>11</v>
      </c>
      <c r="B255" s="334">
        <f t="shared" si="75"/>
        <v>0.68579999999999997</v>
      </c>
      <c r="C255" s="375">
        <f t="shared" si="76"/>
        <v>0.66039999999999999</v>
      </c>
      <c r="D255" s="606">
        <f t="shared" si="74"/>
        <v>0.68579999999999997</v>
      </c>
      <c r="E255" s="531">
        <f t="shared" si="77"/>
        <v>-6.1976123952234312</v>
      </c>
      <c r="F255" s="324">
        <f t="shared" si="78"/>
        <v>29.286258572518136</v>
      </c>
      <c r="G255" s="324">
        <f t="shared" si="79"/>
        <v>3.4798069596152845</v>
      </c>
      <c r="H255" s="617" t="str">
        <f t="shared" si="80"/>
        <v>C</v>
      </c>
      <c r="J255" s="639">
        <f t="shared" si="81"/>
        <v>-12</v>
      </c>
      <c r="K255" s="630">
        <v>-10</v>
      </c>
      <c r="L255" s="631">
        <v>1</v>
      </c>
    </row>
    <row r="256" spans="1:18">
      <c r="A256" s="66" t="s">
        <v>226</v>
      </c>
      <c r="B256" s="334">
        <f t="shared" si="75"/>
        <v>0.66039999999999999</v>
      </c>
      <c r="C256" s="375">
        <f t="shared" si="76"/>
        <v>0.66039999999999999</v>
      </c>
      <c r="D256" s="606">
        <f t="shared" si="74"/>
        <v>0.66039999999999999</v>
      </c>
      <c r="E256" s="531">
        <f t="shared" si="77"/>
        <v>9.8346250746551203</v>
      </c>
      <c r="F256" s="324">
        <f t="shared" si="78"/>
        <v>9.8346250746551203</v>
      </c>
      <c r="G256" s="324">
        <f t="shared" si="79"/>
        <v>9.8346250746551203</v>
      </c>
      <c r="H256" s="617" t="str">
        <f t="shared" si="80"/>
        <v>same</v>
      </c>
      <c r="J256" s="639">
        <f t="shared" si="81"/>
        <v>-10</v>
      </c>
      <c r="K256" s="630">
        <v>-8</v>
      </c>
      <c r="L256" s="631">
        <v>1</v>
      </c>
    </row>
    <row r="257" spans="1:16">
      <c r="A257" s="11" t="s">
        <v>13</v>
      </c>
      <c r="B257" s="334">
        <f t="shared" si="75"/>
        <v>0.78739999999999999</v>
      </c>
      <c r="C257" s="375">
        <f t="shared" si="76"/>
        <v>0.78739999999999999</v>
      </c>
      <c r="D257" s="606">
        <f t="shared" si="74"/>
        <v>0.78739999999999999</v>
      </c>
      <c r="E257" s="531">
        <f t="shared" si="77"/>
        <v>14.942734430924284</v>
      </c>
      <c r="F257" s="324">
        <f t="shared" si="78"/>
        <v>14.942734430924284</v>
      </c>
      <c r="G257" s="324">
        <f t="shared" si="79"/>
        <v>14.942734430924284</v>
      </c>
      <c r="H257" s="617" t="str">
        <f t="shared" si="80"/>
        <v>same</v>
      </c>
      <c r="J257" s="639">
        <f t="shared" si="81"/>
        <v>-8</v>
      </c>
      <c r="K257" s="630">
        <v>-6</v>
      </c>
      <c r="L257" s="631">
        <v>0</v>
      </c>
    </row>
    <row r="258" spans="1:16">
      <c r="A258" s="11" t="s">
        <v>15</v>
      </c>
      <c r="B258" s="334">
        <f t="shared" si="75"/>
        <v>0.81279999999999997</v>
      </c>
      <c r="C258" s="375">
        <f t="shared" si="76"/>
        <v>0.81279999999999997</v>
      </c>
      <c r="D258" s="606">
        <f t="shared" si="74"/>
        <v>0.81279999999999997</v>
      </c>
      <c r="E258" s="531">
        <f t="shared" si="77"/>
        <v>0.72950440018562768</v>
      </c>
      <c r="F258" s="324">
        <f t="shared" si="78"/>
        <v>0.75161059413064679</v>
      </c>
      <c r="G258" s="324">
        <f t="shared" si="79"/>
        <v>-5.15284854099085</v>
      </c>
      <c r="H258" s="617" t="str">
        <f t="shared" si="80"/>
        <v>C</v>
      </c>
      <c r="J258" s="639">
        <f t="shared" si="81"/>
        <v>-6</v>
      </c>
      <c r="K258" s="630">
        <v>-4</v>
      </c>
      <c r="L258" s="631">
        <v>1</v>
      </c>
    </row>
    <row r="259" spans="1:16" ht="15.75" thickBot="1">
      <c r="A259" s="11" t="s">
        <v>17</v>
      </c>
      <c r="B259" s="334">
        <f t="shared" si="75"/>
        <v>0.86360000000000003</v>
      </c>
      <c r="C259" s="375">
        <f t="shared" si="76"/>
        <v>0.83819999999999995</v>
      </c>
      <c r="D259" s="606">
        <f t="shared" si="74"/>
        <v>0.86360000000000003</v>
      </c>
      <c r="E259" s="531">
        <f t="shared" si="77"/>
        <v>-5.2532907070827726</v>
      </c>
      <c r="F259" s="324">
        <f t="shared" si="78"/>
        <v>16.226350084617781</v>
      </c>
      <c r="G259" s="324">
        <f t="shared" si="79"/>
        <v>-10.516448601819542</v>
      </c>
      <c r="H259" s="617" t="str">
        <f t="shared" si="80"/>
        <v>C</v>
      </c>
      <c r="J259" s="639">
        <f t="shared" si="81"/>
        <v>-4</v>
      </c>
      <c r="K259" s="630">
        <v>-2</v>
      </c>
      <c r="L259" s="631">
        <v>0</v>
      </c>
    </row>
    <row r="260" spans="1:16">
      <c r="A260" s="11" t="s">
        <v>19</v>
      </c>
      <c r="B260" s="334">
        <f t="shared" si="75"/>
        <v>0.96519999999999995</v>
      </c>
      <c r="C260" s="375">
        <f t="shared" si="76"/>
        <v>0.93979999999999986</v>
      </c>
      <c r="D260" s="606">
        <f t="shared" si="74"/>
        <v>0.96519999999999995</v>
      </c>
      <c r="E260" s="531">
        <f t="shared" si="77"/>
        <v>-0.57569380403897508</v>
      </c>
      <c r="F260" s="324">
        <f t="shared" si="78"/>
        <v>15.320313154960255</v>
      </c>
      <c r="G260" s="324">
        <f t="shared" si="79"/>
        <v>8.5021313367782732</v>
      </c>
      <c r="H260" s="617" t="str">
        <f t="shared" si="80"/>
        <v>C</v>
      </c>
      <c r="J260" s="639">
        <f t="shared" si="81"/>
        <v>-2</v>
      </c>
      <c r="K260" s="630">
        <v>0</v>
      </c>
      <c r="L260" s="631">
        <v>0</v>
      </c>
      <c r="N260" s="634" t="s">
        <v>519</v>
      </c>
      <c r="O260" s="634" t="s">
        <v>520</v>
      </c>
      <c r="P260" s="634" t="s">
        <v>521</v>
      </c>
    </row>
    <row r="261" spans="1:16">
      <c r="A261" s="11" t="s">
        <v>168</v>
      </c>
      <c r="B261" s="334">
        <f t="shared" si="75"/>
        <v>0.96519999999999995</v>
      </c>
      <c r="C261" s="375">
        <f t="shared" si="76"/>
        <v>0.96519999999999995</v>
      </c>
      <c r="D261" s="606">
        <f t="shared" si="74"/>
        <v>0.96519999999999995</v>
      </c>
      <c r="E261" s="531">
        <f t="shared" si="77"/>
        <v>6.0532139364931865</v>
      </c>
      <c r="F261" s="324">
        <f t="shared" si="78"/>
        <v>6.1907869805043942</v>
      </c>
      <c r="G261" s="324">
        <f t="shared" si="79"/>
        <v>6.1907869805043942</v>
      </c>
      <c r="H261" s="617" t="str">
        <f t="shared" si="80"/>
        <v>same</v>
      </c>
      <c r="I261" s="324"/>
      <c r="J261" s="639">
        <f t="shared" si="81"/>
        <v>0</v>
      </c>
      <c r="K261" s="630">
        <v>2</v>
      </c>
      <c r="L261" s="631">
        <v>3</v>
      </c>
      <c r="N261" s="635"/>
      <c r="O261" s="635"/>
      <c r="P261" s="635"/>
    </row>
    <row r="262" spans="1:16" ht="15.75" thickBot="1">
      <c r="A262" s="11" t="s">
        <v>21</v>
      </c>
      <c r="B262" s="334">
        <f t="shared" si="75"/>
        <v>1.1429999999999998</v>
      </c>
      <c r="C262" s="375">
        <f t="shared" si="76"/>
        <v>1.1175999999999999</v>
      </c>
      <c r="D262" s="606">
        <f t="shared" si="74"/>
        <v>1.1175999999999999</v>
      </c>
      <c r="E262" s="531">
        <f t="shared" si="77"/>
        <v>-9.4488188976437473E-2</v>
      </c>
      <c r="F262" s="324">
        <f t="shared" si="78"/>
        <v>11.90551181102343</v>
      </c>
      <c r="G262" s="324">
        <f t="shared" si="79"/>
        <v>11.90551181102343</v>
      </c>
      <c r="H262" s="617" t="str">
        <f t="shared" si="80"/>
        <v>same</v>
      </c>
      <c r="I262" s="324"/>
      <c r="J262" s="639">
        <f t="shared" si="81"/>
        <v>2</v>
      </c>
      <c r="K262" s="630">
        <v>4</v>
      </c>
      <c r="L262" s="631">
        <v>4</v>
      </c>
      <c r="N262" s="636">
        <f>SUM(L251:L259)</f>
        <v>5</v>
      </c>
      <c r="O262" s="636">
        <f>SUM(L251:L262)</f>
        <v>12</v>
      </c>
      <c r="P262" s="636">
        <f>SUM(L263:L270)</f>
        <v>7</v>
      </c>
    </row>
    <row r="263" spans="1:16">
      <c r="A263" s="11" t="s">
        <v>243</v>
      </c>
      <c r="B263" s="334">
        <f t="shared" si="75"/>
        <v>1.1429999999999998</v>
      </c>
      <c r="C263" s="375">
        <f t="shared" si="76"/>
        <v>1.1175999999999999</v>
      </c>
      <c r="D263" s="606">
        <f t="shared" si="74"/>
        <v>1.1175999999999999</v>
      </c>
      <c r="E263" s="531">
        <f t="shared" si="77"/>
        <v>-1.2631897733431314</v>
      </c>
      <c r="F263" s="324">
        <f t="shared" si="78"/>
        <v>10.476747682081385</v>
      </c>
      <c r="G263" s="324">
        <f t="shared" si="79"/>
        <v>10.27527176511828</v>
      </c>
      <c r="H263" s="617" t="str">
        <f t="shared" si="80"/>
        <v>C</v>
      </c>
      <c r="I263" s="324"/>
      <c r="J263" s="639">
        <f t="shared" si="81"/>
        <v>4</v>
      </c>
      <c r="K263" s="630">
        <v>6</v>
      </c>
      <c r="L263" s="631">
        <v>0</v>
      </c>
    </row>
    <row r="264" spans="1:16">
      <c r="A264" s="11" t="s">
        <v>22</v>
      </c>
      <c r="B264" s="334">
        <f t="shared" si="75"/>
        <v>1.27</v>
      </c>
      <c r="C264" s="375">
        <f t="shared" si="76"/>
        <v>1.27</v>
      </c>
      <c r="D264" s="606">
        <f t="shared" si="74"/>
        <v>1.27</v>
      </c>
      <c r="E264" s="531">
        <f t="shared" si="77"/>
        <v>2.9147475968487604</v>
      </c>
      <c r="F264" s="324">
        <f t="shared" si="78"/>
        <v>2.9147475968487604</v>
      </c>
      <c r="G264" s="324">
        <f t="shared" si="79"/>
        <v>2.9147475968487604</v>
      </c>
      <c r="H264" s="617" t="str">
        <f t="shared" si="80"/>
        <v>same</v>
      </c>
      <c r="I264" s="324"/>
      <c r="J264" s="639">
        <f t="shared" si="81"/>
        <v>6</v>
      </c>
      <c r="K264" s="630">
        <v>8</v>
      </c>
      <c r="L264" s="631">
        <v>1</v>
      </c>
    </row>
    <row r="265" spans="1:16">
      <c r="A265" s="11" t="s">
        <v>244</v>
      </c>
      <c r="B265" s="334">
        <f t="shared" si="75"/>
        <v>1.3208</v>
      </c>
      <c r="C265" s="375">
        <f t="shared" si="76"/>
        <v>1.2953999999999999</v>
      </c>
      <c r="D265" s="606">
        <f t="shared" si="74"/>
        <v>1.3208</v>
      </c>
      <c r="E265" s="531">
        <f t="shared" si="77"/>
        <v>-0.86463072712936051</v>
      </c>
      <c r="F265" s="324">
        <f t="shared" si="78"/>
        <v>6.5980558400348581</v>
      </c>
      <c r="G265" s="324">
        <f t="shared" si="79"/>
        <v>2.1204438997363479</v>
      </c>
      <c r="H265" s="617" t="str">
        <f t="shared" si="80"/>
        <v>C</v>
      </c>
      <c r="I265" s="324"/>
      <c r="J265" s="639">
        <f t="shared" si="81"/>
        <v>8</v>
      </c>
      <c r="K265" s="630">
        <v>10</v>
      </c>
      <c r="L265" s="631">
        <v>2</v>
      </c>
    </row>
    <row r="266" spans="1:16">
      <c r="A266" s="11" t="s">
        <v>24</v>
      </c>
      <c r="B266" s="334">
        <f t="shared" si="75"/>
        <v>1.7018</v>
      </c>
      <c r="C266" s="375">
        <f t="shared" si="76"/>
        <v>1.7018</v>
      </c>
      <c r="D266" s="606">
        <f t="shared" si="74"/>
        <v>1.7018</v>
      </c>
      <c r="E266" s="531">
        <f t="shared" si="77"/>
        <v>1.047015862147608</v>
      </c>
      <c r="F266" s="324">
        <f t="shared" si="78"/>
        <v>1.047015862147608</v>
      </c>
      <c r="G266" s="324">
        <f t="shared" si="79"/>
        <v>1.047015862147608</v>
      </c>
      <c r="H266" s="617" t="str">
        <f t="shared" si="80"/>
        <v>same</v>
      </c>
      <c r="I266" s="324"/>
      <c r="J266" s="639">
        <f t="shared" si="81"/>
        <v>10</v>
      </c>
      <c r="K266" s="630">
        <v>12</v>
      </c>
      <c r="L266" s="631">
        <v>2</v>
      </c>
    </row>
    <row r="267" spans="1:16">
      <c r="A267" s="11" t="s">
        <v>26</v>
      </c>
      <c r="B267" s="334">
        <f t="shared" si="75"/>
        <v>2.3367999999999998</v>
      </c>
      <c r="C267" s="375">
        <f t="shared" si="76"/>
        <v>2.3367999999999998</v>
      </c>
      <c r="D267" s="606">
        <f t="shared" si="74"/>
        <v>2.3367999999999998</v>
      </c>
      <c r="E267" s="531">
        <f t="shared" si="77"/>
        <v>0.82075226133937251</v>
      </c>
      <c r="F267" s="324">
        <f t="shared" si="78"/>
        <v>0.82075226133937251</v>
      </c>
      <c r="G267" s="324">
        <f t="shared" si="79"/>
        <v>0.82075226133937251</v>
      </c>
      <c r="H267" s="617" t="str">
        <f t="shared" si="80"/>
        <v>same</v>
      </c>
      <c r="I267" s="324"/>
      <c r="J267" s="639">
        <f t="shared" si="81"/>
        <v>12</v>
      </c>
      <c r="K267" s="630">
        <v>14</v>
      </c>
      <c r="L267" s="631">
        <v>0</v>
      </c>
    </row>
    <row r="268" spans="1:16">
      <c r="A268" s="11" t="s">
        <v>239</v>
      </c>
      <c r="B268" s="334">
        <f t="shared" si="75"/>
        <v>3.0733999999999999</v>
      </c>
      <c r="C268" s="375">
        <f t="shared" si="76"/>
        <v>3.0733999999999999</v>
      </c>
      <c r="D268" s="606">
        <f t="shared" si="74"/>
        <v>3.0733999999999999</v>
      </c>
      <c r="E268" s="531">
        <f t="shared" si="77"/>
        <v>8.3798616082128644E-2</v>
      </c>
      <c r="F268" s="324">
        <f t="shared" si="78"/>
        <v>8.3798616082128644E-2</v>
      </c>
      <c r="G268" s="324">
        <f t="shared" si="79"/>
        <v>8.3798616082128644E-2</v>
      </c>
      <c r="H268" s="617" t="str">
        <f t="shared" si="80"/>
        <v>same</v>
      </c>
      <c r="I268" s="324"/>
      <c r="J268" s="639">
        <f>J267+2</f>
        <v>14</v>
      </c>
      <c r="K268" s="630">
        <v>16</v>
      </c>
      <c r="L268" s="631">
        <v>1</v>
      </c>
    </row>
    <row r="269" spans="1:16">
      <c r="A269" s="11" t="s">
        <v>89</v>
      </c>
      <c r="B269" s="334">
        <f t="shared" si="75"/>
        <v>6.35</v>
      </c>
      <c r="C269" s="375">
        <f t="shared" si="76"/>
        <v>6.35</v>
      </c>
      <c r="D269" s="606">
        <f t="shared" si="74"/>
        <v>6.35</v>
      </c>
      <c r="E269" s="531">
        <f t="shared" si="77"/>
        <v>-90.326509186351672</v>
      </c>
      <c r="F269" s="324">
        <f t="shared" si="78"/>
        <v>-82.347644500641735</v>
      </c>
      <c r="G269" s="324">
        <f t="shared" si="79"/>
        <v>-90.326509186351672</v>
      </c>
      <c r="H269" s="617" t="str">
        <f>IF(F269=G269, "same", IF(F269&lt;G269,"B","C"))</f>
        <v>C</v>
      </c>
      <c r="I269" s="324"/>
      <c r="J269" s="639">
        <f t="shared" si="81"/>
        <v>16</v>
      </c>
      <c r="K269" s="630">
        <v>18</v>
      </c>
      <c r="L269" s="631">
        <v>0</v>
      </c>
    </row>
    <row r="270" spans="1:16">
      <c r="A270" s="32" t="s">
        <v>245</v>
      </c>
      <c r="B270" s="368">
        <f t="shared" si="75"/>
        <v>6.2991999999999999</v>
      </c>
      <c r="C270" s="385">
        <f t="shared" si="76"/>
        <v>0.62737999999999994</v>
      </c>
      <c r="D270" s="382">
        <f t="shared" si="74"/>
        <v>6.2737999999999996</v>
      </c>
      <c r="E270" s="438">
        <f t="shared" si="77"/>
        <v>-90.349568199136385</v>
      </c>
      <c r="F270" s="368">
        <f t="shared" si="78"/>
        <v>915.33088651392904</v>
      </c>
      <c r="G270" s="368">
        <f t="shared" si="79"/>
        <v>-89.905639325448689</v>
      </c>
      <c r="H270" s="618" t="str">
        <f t="shared" si="80"/>
        <v>C</v>
      </c>
      <c r="I270" s="324"/>
      <c r="J270" s="639">
        <f t="shared" si="81"/>
        <v>18</v>
      </c>
      <c r="K270" s="630">
        <v>20</v>
      </c>
      <c r="L270" s="631">
        <v>1</v>
      </c>
    </row>
    <row r="271" spans="1:16" ht="15.75" thickBot="1">
      <c r="A271" s="11"/>
      <c r="B271" s="324"/>
      <c r="C271" s="324"/>
      <c r="D271" s="324"/>
      <c r="E271" s="324"/>
      <c r="F271" s="324"/>
      <c r="G271" s="324"/>
      <c r="H271" s="324"/>
      <c r="I271" s="324"/>
      <c r="J271" s="639">
        <f t="shared" si="81"/>
        <v>20</v>
      </c>
      <c r="K271" s="632" t="s">
        <v>148</v>
      </c>
      <c r="L271" s="632">
        <v>0</v>
      </c>
    </row>
    <row r="272" spans="1:16">
      <c r="A272" s="11"/>
      <c r="B272" s="324"/>
      <c r="C272" s="324"/>
      <c r="D272" s="324"/>
      <c r="E272" s="324"/>
      <c r="F272" s="324"/>
      <c r="G272" s="324">
        <f>MAX(G251:G270)</f>
        <v>18.452371208275924</v>
      </c>
      <c r="H272" s="324"/>
      <c r="I272" s="324"/>
      <c r="J272" s="324"/>
    </row>
    <row r="273" spans="1:12">
      <c r="A273" s="11"/>
      <c r="B273" s="324"/>
      <c r="C273" s="324"/>
      <c r="D273" s="324"/>
      <c r="E273" s="324"/>
      <c r="F273" s="324"/>
      <c r="G273" s="324"/>
      <c r="H273" s="324"/>
      <c r="I273" s="324"/>
      <c r="J273" s="324"/>
    </row>
    <row r="274" spans="1:12">
      <c r="A274" s="324"/>
      <c r="B274" s="324"/>
      <c r="C274" s="324"/>
      <c r="D274" s="324"/>
      <c r="E274" s="324"/>
      <c r="F274" s="324"/>
      <c r="G274" s="324"/>
      <c r="H274" s="324"/>
      <c r="I274" s="324"/>
      <c r="J274" s="324"/>
      <c r="K274" s="629"/>
    </row>
    <row r="275" spans="1:12" ht="15.75" thickBot="1">
      <c r="A275" s="324"/>
      <c r="B275" s="324"/>
      <c r="C275" s="324"/>
      <c r="D275" s="324"/>
      <c r="E275" s="324"/>
      <c r="F275" s="324"/>
      <c r="G275" s="324"/>
      <c r="H275" s="324"/>
      <c r="I275" s="324"/>
      <c r="J275" s="324"/>
      <c r="K275" s="629"/>
    </row>
    <row r="276" spans="1:12" ht="21">
      <c r="A276" s="11"/>
      <c r="B276" s="317"/>
      <c r="C276" s="655" t="s">
        <v>512</v>
      </c>
      <c r="D276" s="656"/>
      <c r="E276" s="324"/>
      <c r="F276" s="324"/>
      <c r="G276" s="324"/>
      <c r="H276" s="324"/>
      <c r="I276" s="324"/>
      <c r="J276" s="324"/>
      <c r="K276" s="629"/>
    </row>
    <row r="277" spans="1:12" ht="21.75" thickBot="1">
      <c r="A277" s="11"/>
      <c r="B277" s="416"/>
      <c r="C277" s="657" t="s">
        <v>513</v>
      </c>
      <c r="D277" s="333"/>
      <c r="E277" s="324"/>
      <c r="F277" s="324"/>
      <c r="G277" s="324"/>
      <c r="H277" s="324"/>
    </row>
    <row r="278" spans="1:12" s="57" customFormat="1">
      <c r="A278" s="66"/>
      <c r="C278" s="654"/>
      <c r="D278" s="221"/>
      <c r="E278" s="221"/>
      <c r="F278" s="221"/>
      <c r="G278" s="221"/>
      <c r="H278" s="221"/>
    </row>
    <row r="279" spans="1:12" s="57" customFormat="1">
      <c r="A279" s="66"/>
      <c r="C279" s="654"/>
      <c r="D279" s="221"/>
      <c r="E279" s="221"/>
      <c r="F279" s="221"/>
      <c r="G279" s="221"/>
      <c r="H279" s="221"/>
    </row>
    <row r="280" spans="1:12" s="526" customFormat="1" ht="21">
      <c r="A280" s="540" t="s">
        <v>540</v>
      </c>
      <c r="C280" s="621"/>
      <c r="D280" s="591"/>
      <c r="E280" s="591"/>
      <c r="F280" s="591"/>
      <c r="G280" s="591"/>
      <c r="H280" s="591"/>
    </row>
    <row r="281" spans="1:12" s="526" customFormat="1" ht="21">
      <c r="A281" s="540"/>
      <c r="B281" s="526" t="s">
        <v>541</v>
      </c>
      <c r="C281" s="621"/>
      <c r="D281" s="591"/>
      <c r="E281" s="591"/>
      <c r="F281" s="591"/>
      <c r="G281" s="591"/>
      <c r="H281" s="591"/>
    </row>
    <row r="282" spans="1:12" s="57" customFormat="1">
      <c r="A282" s="66"/>
      <c r="C282" s="654"/>
      <c r="D282" s="221"/>
      <c r="E282" s="221"/>
      <c r="F282" s="221"/>
      <c r="G282" s="221"/>
      <c r="H282" s="221"/>
    </row>
    <row r="283" spans="1:12" s="57" customFormat="1">
      <c r="A283" s="66"/>
      <c r="B283" t="s">
        <v>546</v>
      </c>
      <c r="C283" s="654"/>
      <c r="D283" s="221"/>
      <c r="E283" s="221"/>
      <c r="F283" s="221"/>
      <c r="G283" s="221"/>
      <c r="H283" s="221"/>
    </row>
    <row r="284" spans="1:12" s="57" customFormat="1">
      <c r="A284" s="66"/>
      <c r="B284" t="s">
        <v>547</v>
      </c>
      <c r="C284" s="654"/>
      <c r="D284" s="221"/>
      <c r="E284" s="221"/>
      <c r="F284" s="221"/>
      <c r="G284" s="221"/>
      <c r="H284" s="221"/>
    </row>
    <row r="285" spans="1:12" s="57" customFormat="1">
      <c r="A285" s="66"/>
      <c r="C285" s="654"/>
      <c r="D285" s="221"/>
      <c r="E285" s="221"/>
      <c r="F285" s="221"/>
      <c r="G285" s="221"/>
      <c r="H285" s="221"/>
    </row>
    <row r="286" spans="1:12">
      <c r="A286" s="11"/>
      <c r="B286" s="324"/>
      <c r="C286" s="324"/>
      <c r="D286" s="324"/>
      <c r="E286" s="324"/>
      <c r="F286" s="324"/>
      <c r="G286" s="324"/>
      <c r="H286" s="324"/>
    </row>
    <row r="287" spans="1:12">
      <c r="A287" s="11"/>
      <c r="B287" s="324"/>
      <c r="C287" s="324"/>
      <c r="D287" s="324"/>
      <c r="E287" s="324"/>
      <c r="F287" s="324"/>
      <c r="G287" s="324"/>
      <c r="H287" s="324"/>
      <c r="I287" s="324"/>
      <c r="J287" s="324"/>
      <c r="K287" s="324"/>
      <c r="L287" s="377"/>
    </row>
    <row r="288" spans="1:12">
      <c r="A288" s="11"/>
      <c r="B288" s="324"/>
      <c r="C288" s="324"/>
      <c r="D288" s="324"/>
      <c r="E288" s="324"/>
      <c r="F288" s="324"/>
      <c r="G288" s="324"/>
      <c r="H288" s="324"/>
      <c r="I288" s="324"/>
      <c r="J288" s="324"/>
      <c r="K288" s="324"/>
      <c r="L288" s="377"/>
    </row>
    <row r="289" spans="1:12" ht="21">
      <c r="A289" s="540" t="s">
        <v>517</v>
      </c>
      <c r="B289" s="324"/>
      <c r="C289" s="324"/>
      <c r="D289" s="324"/>
      <c r="E289" s="324"/>
      <c r="F289" s="324"/>
      <c r="G289" s="324"/>
      <c r="H289" s="324"/>
      <c r="I289" s="324"/>
      <c r="J289" s="324"/>
      <c r="K289" s="324"/>
      <c r="L289" s="377"/>
    </row>
    <row r="290" spans="1:12">
      <c r="A290" s="11" t="s">
        <v>514</v>
      </c>
      <c r="B290" s="324"/>
      <c r="C290" s="324"/>
      <c r="D290" s="324"/>
      <c r="E290" s="324"/>
      <c r="F290" s="324"/>
      <c r="G290" s="324"/>
      <c r="H290" s="324"/>
      <c r="I290" s="324"/>
      <c r="J290" s="324"/>
      <c r="K290" s="324"/>
      <c r="L290" s="377"/>
    </row>
    <row r="291" spans="1:12">
      <c r="A291" s="11"/>
      <c r="B291" s="324"/>
      <c r="C291" s="324"/>
      <c r="D291" s="324"/>
      <c r="E291" s="324"/>
      <c r="F291" s="324"/>
      <c r="G291" s="324"/>
      <c r="H291" s="324"/>
      <c r="I291" s="324"/>
      <c r="J291" s="324"/>
      <c r="K291" s="324"/>
      <c r="L291" s="377"/>
    </row>
    <row r="292" spans="1:12">
      <c r="A292" s="11"/>
      <c r="B292" s="324"/>
      <c r="C292" s="324"/>
      <c r="D292" s="324"/>
      <c r="E292" s="324"/>
      <c r="F292" s="324"/>
      <c r="G292" s="324"/>
      <c r="H292" s="324"/>
      <c r="I292" s="324"/>
      <c r="J292" s="324"/>
      <c r="K292" s="324"/>
      <c r="L292" s="377"/>
    </row>
    <row r="293" spans="1:12" ht="21">
      <c r="A293" s="642" t="s">
        <v>340</v>
      </c>
      <c r="B293" s="11"/>
      <c r="C293" s="11"/>
      <c r="D293" s="529" t="s">
        <v>408</v>
      </c>
      <c r="E293" s="11"/>
      <c r="F293" s="529" t="s">
        <v>491</v>
      </c>
      <c r="G293" s="540"/>
      <c r="H293" s="583" t="s">
        <v>487</v>
      </c>
      <c r="I293" s="15"/>
      <c r="J293" s="15"/>
      <c r="K293" s="377"/>
    </row>
    <row r="294" spans="1:12">
      <c r="A294" s="11" t="s">
        <v>246</v>
      </c>
      <c r="B294" s="436" t="s">
        <v>337</v>
      </c>
      <c r="C294" s="379"/>
      <c r="D294" s="335" t="s">
        <v>342</v>
      </c>
      <c r="E294" s="335"/>
      <c r="F294" s="528" t="s">
        <v>410</v>
      </c>
      <c r="G294" s="335" t="s">
        <v>411</v>
      </c>
      <c r="H294" s="528" t="s">
        <v>492</v>
      </c>
      <c r="I294" s="335" t="s">
        <v>372</v>
      </c>
      <c r="J294" s="335" t="s">
        <v>133</v>
      </c>
      <c r="K294" s="377"/>
    </row>
    <row r="295" spans="1:12">
      <c r="A295" s="32"/>
      <c r="B295" s="437" t="s">
        <v>112</v>
      </c>
      <c r="C295" s="393" t="s">
        <v>113</v>
      </c>
      <c r="D295" s="342" t="s">
        <v>112</v>
      </c>
      <c r="E295" s="342" t="s">
        <v>113</v>
      </c>
      <c r="F295" s="357" t="s">
        <v>113</v>
      </c>
      <c r="G295" s="342" t="s">
        <v>409</v>
      </c>
      <c r="H295" s="580" t="s">
        <v>493</v>
      </c>
      <c r="I295" s="395"/>
      <c r="J295" s="395" t="s">
        <v>113</v>
      </c>
      <c r="K295" s="377"/>
    </row>
    <row r="296" spans="1:12">
      <c r="A296" s="11"/>
      <c r="B296" s="436"/>
      <c r="C296" s="379"/>
      <c r="D296" s="607"/>
      <c r="E296" s="607"/>
      <c r="F296" s="609"/>
      <c r="G296" s="607"/>
      <c r="H296" s="528"/>
      <c r="I296" s="335"/>
      <c r="J296" s="335"/>
      <c r="K296" s="377"/>
    </row>
    <row r="297" spans="1:12">
      <c r="A297" s="11" t="s">
        <v>489</v>
      </c>
      <c r="B297" s="222">
        <f>B215</f>
        <v>0.02</v>
      </c>
      <c r="C297" s="379">
        <f>B297*25.4</f>
        <v>0.50800000000000001</v>
      </c>
      <c r="D297" s="335">
        <f>B297+$B$208</f>
        <v>2.1000000000000001E-2</v>
      </c>
      <c r="E297" s="375">
        <f>D297*25.4</f>
        <v>0.53339999999999999</v>
      </c>
      <c r="F297" s="5"/>
      <c r="G297" s="11"/>
      <c r="H297" s="5"/>
      <c r="I297" s="11"/>
      <c r="J297" s="11"/>
      <c r="K297" s="11"/>
    </row>
    <row r="298" spans="1:12">
      <c r="A298" s="66" t="s">
        <v>6</v>
      </c>
      <c r="B298" s="222">
        <f t="shared" ref="B298:B317" si="82">B216</f>
        <v>2.4E-2</v>
      </c>
      <c r="C298" s="439">
        <f>B298*25.4</f>
        <v>0.60960000000000003</v>
      </c>
      <c r="D298" s="335">
        <f t="shared" ref="D298:D317" si="83">B298+$B$208</f>
        <v>2.5000000000000001E-2</v>
      </c>
      <c r="E298" s="375">
        <f t="shared" ref="E298:E317" si="84">D298*25.4</f>
        <v>0.63500000000000001</v>
      </c>
      <c r="F298" s="531">
        <f t="shared" ref="F298:F317" si="85">(E298+J43)*B43</f>
        <v>13.246999999999998</v>
      </c>
      <c r="G298" s="324" t="str">
        <f>IF(F298&gt;$B$209, "yes","no")</f>
        <v>yes</v>
      </c>
      <c r="H298" s="531" t="s">
        <v>489</v>
      </c>
      <c r="I298" s="629">
        <v>2</v>
      </c>
      <c r="J298" s="324">
        <f>F298+I298*(C297-E298)</f>
        <v>12.992999999999999</v>
      </c>
      <c r="K298" s="324"/>
      <c r="L298" s="377"/>
    </row>
    <row r="299" spans="1:12">
      <c r="A299" s="66" t="s">
        <v>164</v>
      </c>
      <c r="B299" s="222">
        <f t="shared" si="82"/>
        <v>2.4E-2</v>
      </c>
      <c r="C299" s="439">
        <f t="shared" ref="C299:C317" si="86">B299*25.4</f>
        <v>0.60960000000000003</v>
      </c>
      <c r="D299" s="335">
        <f t="shared" si="83"/>
        <v>2.5000000000000001E-2</v>
      </c>
      <c r="E299" s="375">
        <f t="shared" si="84"/>
        <v>0.63500000000000001</v>
      </c>
      <c r="F299" s="531">
        <f t="shared" si="85"/>
        <v>13.257758620689657</v>
      </c>
      <c r="G299" s="324" t="str">
        <f t="shared" ref="G299:G317" si="87">IF(F299&gt;$B$209, "yes","no")</f>
        <v>yes</v>
      </c>
      <c r="H299" s="531"/>
      <c r="I299" s="629">
        <v>0</v>
      </c>
      <c r="J299" s="324"/>
      <c r="K299" s="324"/>
      <c r="L299" s="377"/>
    </row>
    <row r="300" spans="1:12">
      <c r="A300" s="66" t="s">
        <v>9</v>
      </c>
      <c r="B300" s="222">
        <f t="shared" si="82"/>
        <v>2.3E-2</v>
      </c>
      <c r="C300" s="439">
        <f t="shared" si="86"/>
        <v>0.58419999999999994</v>
      </c>
      <c r="D300" s="335">
        <f t="shared" si="83"/>
        <v>2.4E-2</v>
      </c>
      <c r="E300" s="375">
        <f t="shared" si="84"/>
        <v>0.60960000000000003</v>
      </c>
      <c r="F300" s="531">
        <f t="shared" si="85"/>
        <v>13.320654545454538</v>
      </c>
      <c r="G300" s="324" t="str">
        <f t="shared" si="87"/>
        <v>yes</v>
      </c>
      <c r="H300" s="531"/>
      <c r="I300" s="629">
        <v>0</v>
      </c>
      <c r="J300" s="324"/>
      <c r="K300" s="324"/>
      <c r="L300" s="377"/>
    </row>
    <row r="301" spans="1:12">
      <c r="A301" s="66" t="s">
        <v>165</v>
      </c>
      <c r="B301" s="222">
        <f t="shared" si="82"/>
        <v>2.1999999999999999E-2</v>
      </c>
      <c r="C301" s="439">
        <f t="shared" si="86"/>
        <v>0.55879999999999996</v>
      </c>
      <c r="D301" s="335">
        <f t="shared" si="83"/>
        <v>2.3E-2</v>
      </c>
      <c r="E301" s="375">
        <f t="shared" si="84"/>
        <v>0.58419999999999994</v>
      </c>
      <c r="F301" s="531">
        <f t="shared" si="85"/>
        <v>13.182940540540544</v>
      </c>
      <c r="G301" s="324" t="str">
        <f t="shared" si="87"/>
        <v>yes</v>
      </c>
      <c r="H301" s="531" t="s">
        <v>489</v>
      </c>
      <c r="I301" s="629">
        <v>3</v>
      </c>
      <c r="J301" s="324">
        <f>F301+I301*(C297-E301)</f>
        <v>12.954340540540544</v>
      </c>
      <c r="K301" s="324"/>
      <c r="L301" s="377"/>
    </row>
    <row r="302" spans="1:12">
      <c r="A302" s="66" t="s">
        <v>11</v>
      </c>
      <c r="B302" s="222">
        <f t="shared" si="82"/>
        <v>2.7E-2</v>
      </c>
      <c r="C302" s="439">
        <f t="shared" si="86"/>
        <v>0.68579999999999997</v>
      </c>
      <c r="D302" s="335">
        <f t="shared" si="83"/>
        <v>2.8000000000000001E-2</v>
      </c>
      <c r="E302" s="375">
        <f t="shared" si="84"/>
        <v>0.71119999999999994</v>
      </c>
      <c r="F302" s="531">
        <f t="shared" si="85"/>
        <v>13.328199999999992</v>
      </c>
      <c r="G302" s="324" t="str">
        <f t="shared" si="87"/>
        <v>yes</v>
      </c>
      <c r="H302" s="531"/>
      <c r="I302" s="629">
        <v>0</v>
      </c>
      <c r="J302" s="324"/>
      <c r="K302" s="324"/>
      <c r="L302" s="377"/>
    </row>
    <row r="303" spans="1:12">
      <c r="A303" s="66" t="s">
        <v>226</v>
      </c>
      <c r="B303" s="222">
        <f t="shared" si="82"/>
        <v>2.5999999999999999E-2</v>
      </c>
      <c r="C303" s="439">
        <f t="shared" si="86"/>
        <v>0.66039999999999999</v>
      </c>
      <c r="D303" s="335">
        <f t="shared" si="83"/>
        <v>2.7E-2</v>
      </c>
      <c r="E303" s="375">
        <f t="shared" si="84"/>
        <v>0.68579999999999997</v>
      </c>
      <c r="F303" s="531">
        <f t="shared" si="85"/>
        <v>13.201962162162166</v>
      </c>
      <c r="G303" s="324" t="str">
        <f t="shared" si="87"/>
        <v>yes</v>
      </c>
      <c r="H303" s="531"/>
      <c r="I303" s="629">
        <v>0</v>
      </c>
      <c r="J303" s="324"/>
      <c r="K303" s="324"/>
      <c r="L303" s="377"/>
    </row>
    <row r="304" spans="1:12">
      <c r="A304" s="11" t="s">
        <v>13</v>
      </c>
      <c r="B304" s="222">
        <f t="shared" si="82"/>
        <v>3.1E-2</v>
      </c>
      <c r="C304" s="439">
        <f t="shared" si="86"/>
        <v>0.78739999999999999</v>
      </c>
      <c r="D304" s="335">
        <f t="shared" si="83"/>
        <v>3.2000000000000001E-2</v>
      </c>
      <c r="E304" s="375">
        <f t="shared" si="84"/>
        <v>0.81279999999999997</v>
      </c>
      <c r="F304" s="531">
        <f t="shared" si="85"/>
        <v>13.132545454545447</v>
      </c>
      <c r="G304" s="324" t="str">
        <f t="shared" si="87"/>
        <v>yes</v>
      </c>
      <c r="H304" s="531"/>
      <c r="I304" s="629">
        <v>0</v>
      </c>
      <c r="J304" s="324"/>
      <c r="K304" s="324"/>
      <c r="L304" s="377"/>
    </row>
    <row r="305" spans="1:12">
      <c r="A305" s="11" t="s">
        <v>15</v>
      </c>
      <c r="B305" s="222">
        <f t="shared" si="82"/>
        <v>3.2000000000000001E-2</v>
      </c>
      <c r="C305" s="439">
        <f t="shared" si="86"/>
        <v>0.81279999999999997</v>
      </c>
      <c r="D305" s="335">
        <f t="shared" si="83"/>
        <v>3.3000000000000002E-2</v>
      </c>
      <c r="E305" s="375">
        <f t="shared" si="84"/>
        <v>0.83819999999999995</v>
      </c>
      <c r="F305" s="531">
        <f t="shared" si="85"/>
        <v>13.222299999999997</v>
      </c>
      <c r="G305" s="324" t="str">
        <f t="shared" si="87"/>
        <v>yes</v>
      </c>
      <c r="H305" s="531"/>
      <c r="I305" s="629">
        <v>0</v>
      </c>
      <c r="J305" s="324"/>
      <c r="K305" s="324"/>
      <c r="L305" s="377"/>
    </row>
    <row r="306" spans="1:12">
      <c r="A306" s="11" t="s">
        <v>17</v>
      </c>
      <c r="B306" s="222">
        <f t="shared" si="82"/>
        <v>3.4000000000000002E-2</v>
      </c>
      <c r="C306" s="439">
        <f t="shared" si="86"/>
        <v>0.86360000000000003</v>
      </c>
      <c r="D306" s="335">
        <f t="shared" si="83"/>
        <v>3.5000000000000003E-2</v>
      </c>
      <c r="E306" s="375">
        <f t="shared" si="84"/>
        <v>0.88900000000000001</v>
      </c>
      <c r="F306" s="531">
        <f t="shared" si="85"/>
        <v>13.253904761904764</v>
      </c>
      <c r="G306" s="324" t="str">
        <f t="shared" si="87"/>
        <v>yes</v>
      </c>
      <c r="H306" s="531"/>
      <c r="I306" s="629">
        <v>0</v>
      </c>
      <c r="J306" s="324"/>
      <c r="K306" s="324"/>
      <c r="L306" s="377"/>
    </row>
    <row r="307" spans="1:12">
      <c r="A307" s="11" t="s">
        <v>19</v>
      </c>
      <c r="B307" s="222">
        <f t="shared" si="82"/>
        <v>3.7999999999999999E-2</v>
      </c>
      <c r="C307" s="439">
        <f t="shared" si="86"/>
        <v>0.96519999999999995</v>
      </c>
      <c r="D307" s="335">
        <f t="shared" si="83"/>
        <v>3.9E-2</v>
      </c>
      <c r="E307" s="375">
        <f t="shared" si="84"/>
        <v>0.99059999999999993</v>
      </c>
      <c r="F307" s="531">
        <f t="shared" si="85"/>
        <v>13.184380180180167</v>
      </c>
      <c r="G307" s="324" t="str">
        <f t="shared" si="87"/>
        <v>yes</v>
      </c>
      <c r="H307" s="531"/>
      <c r="I307" s="629">
        <v>0</v>
      </c>
      <c r="J307" s="324"/>
      <c r="K307" s="324"/>
      <c r="L307" s="377"/>
    </row>
    <row r="308" spans="1:12">
      <c r="A308" s="11" t="s">
        <v>168</v>
      </c>
      <c r="B308" s="222">
        <f>B226</f>
        <v>3.7999999999999999E-2</v>
      </c>
      <c r="C308" s="439">
        <f t="shared" si="86"/>
        <v>0.96519999999999995</v>
      </c>
      <c r="D308" s="335">
        <f t="shared" si="83"/>
        <v>3.9E-2</v>
      </c>
      <c r="E308" s="375">
        <f t="shared" si="84"/>
        <v>0.99059999999999993</v>
      </c>
      <c r="F308" s="531">
        <f t="shared" si="85"/>
        <v>13.108611764705882</v>
      </c>
      <c r="G308" s="324" t="str">
        <f t="shared" si="87"/>
        <v>yes</v>
      </c>
      <c r="H308" s="531"/>
      <c r="I308" s="629">
        <v>0</v>
      </c>
      <c r="J308" s="324"/>
      <c r="K308" s="324"/>
      <c r="L308" s="377"/>
    </row>
    <row r="309" spans="1:12">
      <c r="A309" s="11" t="s">
        <v>21</v>
      </c>
      <c r="B309" s="222">
        <f t="shared" si="82"/>
        <v>4.3999999999999997E-2</v>
      </c>
      <c r="C309" s="439">
        <f t="shared" si="86"/>
        <v>1.1175999999999999</v>
      </c>
      <c r="D309" s="335">
        <f t="shared" si="83"/>
        <v>4.4999999999999998E-2</v>
      </c>
      <c r="E309" s="375">
        <f t="shared" si="84"/>
        <v>1.1429999999999998</v>
      </c>
      <c r="F309" s="531">
        <f t="shared" si="85"/>
        <v>13.001200000000001</v>
      </c>
      <c r="G309" s="324" t="str">
        <f t="shared" si="87"/>
        <v>yes</v>
      </c>
      <c r="H309" s="531"/>
      <c r="I309" s="629">
        <v>0</v>
      </c>
      <c r="J309" s="324"/>
      <c r="K309" s="324"/>
      <c r="L309" s="377"/>
    </row>
    <row r="310" spans="1:12">
      <c r="A310" s="11" t="s">
        <v>243</v>
      </c>
      <c r="B310" s="222">
        <f t="shared" si="82"/>
        <v>4.3999999999999997E-2</v>
      </c>
      <c r="C310" s="439">
        <f t="shared" si="86"/>
        <v>1.1175999999999999</v>
      </c>
      <c r="D310" s="335">
        <f t="shared" si="83"/>
        <v>4.4999999999999998E-2</v>
      </c>
      <c r="E310" s="375">
        <f t="shared" si="84"/>
        <v>1.1429999999999998</v>
      </c>
      <c r="F310" s="531">
        <f t="shared" si="85"/>
        <v>13.016684210526316</v>
      </c>
      <c r="G310" s="324" t="str">
        <f t="shared" si="87"/>
        <v>yes</v>
      </c>
      <c r="H310" s="531"/>
      <c r="I310" s="629">
        <v>0</v>
      </c>
      <c r="J310" s="324"/>
      <c r="K310" s="324"/>
      <c r="L310" s="377"/>
    </row>
    <row r="311" spans="1:12">
      <c r="A311" s="11" t="s">
        <v>22</v>
      </c>
      <c r="B311" s="222">
        <f t="shared" si="82"/>
        <v>0.05</v>
      </c>
      <c r="C311" s="439">
        <f t="shared" si="86"/>
        <v>1.27</v>
      </c>
      <c r="D311" s="335">
        <f t="shared" si="83"/>
        <v>5.1000000000000004E-2</v>
      </c>
      <c r="E311" s="375">
        <f t="shared" si="84"/>
        <v>1.2954000000000001</v>
      </c>
      <c r="F311" s="531">
        <f t="shared" si="85"/>
        <v>13.077396825396828</v>
      </c>
      <c r="G311" s="324" t="str">
        <f t="shared" si="87"/>
        <v>yes</v>
      </c>
      <c r="H311" s="531"/>
      <c r="I311" s="629">
        <v>0</v>
      </c>
      <c r="J311" s="324"/>
      <c r="K311" s="324"/>
      <c r="L311" s="377"/>
    </row>
    <row r="312" spans="1:12">
      <c r="A312" s="11" t="s">
        <v>244</v>
      </c>
      <c r="B312" s="222">
        <f t="shared" si="82"/>
        <v>5.1999999999999998E-2</v>
      </c>
      <c r="C312" s="439">
        <f t="shared" si="86"/>
        <v>1.3208</v>
      </c>
      <c r="D312" s="335">
        <f t="shared" si="83"/>
        <v>5.2999999999999999E-2</v>
      </c>
      <c r="E312" s="375">
        <f t="shared" si="84"/>
        <v>1.3461999999999998</v>
      </c>
      <c r="F312" s="531">
        <f t="shared" si="85"/>
        <v>13.141714285714288</v>
      </c>
      <c r="G312" s="324" t="str">
        <f t="shared" si="87"/>
        <v>yes</v>
      </c>
      <c r="H312" s="531"/>
      <c r="I312" s="629">
        <v>0</v>
      </c>
      <c r="J312" s="324"/>
      <c r="K312" s="324"/>
      <c r="L312" s="377"/>
    </row>
    <row r="313" spans="1:12">
      <c r="A313" s="11" t="s">
        <v>24</v>
      </c>
      <c r="B313" s="222">
        <f t="shared" si="82"/>
        <v>6.7000000000000004E-2</v>
      </c>
      <c r="C313" s="439">
        <f t="shared" si="86"/>
        <v>1.7018</v>
      </c>
      <c r="D313" s="335">
        <f t="shared" si="83"/>
        <v>6.8000000000000005E-2</v>
      </c>
      <c r="E313" s="375">
        <f t="shared" si="84"/>
        <v>1.7272000000000001</v>
      </c>
      <c r="F313" s="531">
        <f t="shared" si="85"/>
        <v>13.077133333333334</v>
      </c>
      <c r="G313" s="324" t="str">
        <f t="shared" si="87"/>
        <v>yes</v>
      </c>
      <c r="H313" s="531"/>
      <c r="I313" s="629">
        <v>0</v>
      </c>
      <c r="J313" s="324"/>
      <c r="K313" s="324"/>
      <c r="L313" s="377"/>
    </row>
    <row r="314" spans="1:12">
      <c r="A314" s="11" t="s">
        <v>26</v>
      </c>
      <c r="B314" s="222">
        <f t="shared" si="82"/>
        <v>9.1999999999999998E-2</v>
      </c>
      <c r="C314" s="439">
        <f t="shared" si="86"/>
        <v>2.3367999999999998</v>
      </c>
      <c r="D314" s="335">
        <f t="shared" si="83"/>
        <v>9.2999999999999999E-2</v>
      </c>
      <c r="E314" s="375">
        <f t="shared" si="84"/>
        <v>2.3621999999999996</v>
      </c>
      <c r="F314" s="531">
        <f t="shared" si="85"/>
        <v>13.050974999999998</v>
      </c>
      <c r="G314" s="324" t="str">
        <f t="shared" si="87"/>
        <v>yes</v>
      </c>
      <c r="H314" s="531"/>
      <c r="I314" s="629">
        <v>0</v>
      </c>
      <c r="J314" s="324"/>
      <c r="K314" s="324"/>
      <c r="L314" s="377"/>
    </row>
    <row r="315" spans="1:12">
      <c r="A315" s="11" t="s">
        <v>239</v>
      </c>
      <c r="B315" s="222">
        <f t="shared" si="82"/>
        <v>0.121</v>
      </c>
      <c r="C315" s="439">
        <f t="shared" si="86"/>
        <v>3.0733999999999999</v>
      </c>
      <c r="D315" s="335">
        <f t="shared" si="83"/>
        <v>0.122</v>
      </c>
      <c r="E315" s="375">
        <f t="shared" si="84"/>
        <v>3.0987999999999998</v>
      </c>
      <c r="F315" s="531">
        <f t="shared" si="85"/>
        <v>13.045478787878785</v>
      </c>
      <c r="G315" s="324" t="str">
        <f t="shared" si="87"/>
        <v>yes</v>
      </c>
      <c r="H315" s="531"/>
      <c r="I315" s="629">
        <v>0</v>
      </c>
      <c r="J315" s="324"/>
      <c r="K315" s="324"/>
      <c r="L315" s="377"/>
    </row>
    <row r="316" spans="1:12">
      <c r="A316" s="11" t="s">
        <v>89</v>
      </c>
      <c r="B316" s="222">
        <f t="shared" si="82"/>
        <v>0.25</v>
      </c>
      <c r="C316" s="439">
        <f t="shared" si="86"/>
        <v>6.35</v>
      </c>
      <c r="D316" s="335">
        <f t="shared" si="83"/>
        <v>0.251</v>
      </c>
      <c r="E316" s="375">
        <f t="shared" si="84"/>
        <v>6.3754</v>
      </c>
      <c r="F316" s="531">
        <f t="shared" si="85"/>
        <v>13.020733333333332</v>
      </c>
      <c r="G316" s="324" t="str">
        <f t="shared" si="87"/>
        <v>yes</v>
      </c>
      <c r="H316" s="531"/>
      <c r="I316" s="629">
        <v>0</v>
      </c>
      <c r="J316" s="324"/>
      <c r="K316" s="324"/>
      <c r="L316" s="377"/>
    </row>
    <row r="317" spans="1:12">
      <c r="A317" s="32" t="s">
        <v>245</v>
      </c>
      <c r="B317" s="430">
        <f t="shared" si="82"/>
        <v>0.247</v>
      </c>
      <c r="C317" s="440">
        <f t="shared" si="86"/>
        <v>6.2737999999999996</v>
      </c>
      <c r="D317" s="335">
        <f t="shared" si="83"/>
        <v>0.248</v>
      </c>
      <c r="E317" s="375">
        <f t="shared" si="84"/>
        <v>6.2991999999999999</v>
      </c>
      <c r="F317" s="531">
        <f t="shared" si="85"/>
        <v>13.0017</v>
      </c>
      <c r="G317" s="324" t="str">
        <f t="shared" si="87"/>
        <v>yes</v>
      </c>
      <c r="H317" s="531"/>
      <c r="I317" s="629">
        <v>0</v>
      </c>
      <c r="J317" s="324"/>
      <c r="K317" s="324"/>
      <c r="L317" s="377"/>
    </row>
    <row r="318" spans="1:12">
      <c r="A318" s="11"/>
      <c r="B318" s="324"/>
      <c r="C318" s="324"/>
      <c r="D318" s="324"/>
      <c r="E318" s="324"/>
      <c r="F318" s="324"/>
      <c r="G318" s="324"/>
      <c r="H318" s="324"/>
      <c r="I318" s="324"/>
      <c r="J318" s="324"/>
      <c r="K318" s="324"/>
      <c r="L318" s="377"/>
    </row>
    <row r="319" spans="1:12">
      <c r="A319" s="11"/>
      <c r="B319" s="324"/>
      <c r="C319" s="324"/>
      <c r="D319" s="324"/>
      <c r="E319" s="324"/>
      <c r="F319" s="324"/>
      <c r="G319" s="324"/>
      <c r="H319" s="324"/>
      <c r="I319" s="324"/>
      <c r="J319" s="324"/>
      <c r="K319" s="324"/>
      <c r="L319" s="377"/>
    </row>
    <row r="320" spans="1:12">
      <c r="A320" s="11"/>
      <c r="B320" s="324"/>
      <c r="C320" s="324"/>
      <c r="D320" s="324"/>
      <c r="E320" s="324"/>
      <c r="F320" s="324"/>
      <c r="G320" s="324"/>
      <c r="H320" s="324"/>
      <c r="I320" s="324"/>
      <c r="J320" s="324"/>
      <c r="K320" s="324"/>
      <c r="L320" s="377"/>
    </row>
    <row r="321" spans="1:13" ht="21">
      <c r="A321" s="540" t="s">
        <v>522</v>
      </c>
      <c r="B321" s="324"/>
      <c r="C321" s="324"/>
      <c r="D321" s="324"/>
      <c r="E321" s="324"/>
      <c r="F321" s="324"/>
      <c r="G321" s="324"/>
      <c r="H321" s="324"/>
      <c r="I321" s="324"/>
      <c r="J321" s="324"/>
      <c r="K321" s="324"/>
      <c r="L321" s="377"/>
    </row>
    <row r="322" spans="1:13">
      <c r="A322" s="11" t="s">
        <v>523</v>
      </c>
      <c r="B322" s="324"/>
      <c r="C322" s="324"/>
      <c r="D322" s="324"/>
      <c r="E322" s="324"/>
      <c r="F322" s="324"/>
      <c r="G322" s="324"/>
      <c r="H322" s="324"/>
      <c r="I322" s="324"/>
      <c r="J322" s="324"/>
      <c r="K322" s="324"/>
      <c r="L322" s="377"/>
    </row>
    <row r="323" spans="1:13">
      <c r="A323" s="11"/>
      <c r="B323" s="324"/>
      <c r="C323" s="324"/>
      <c r="D323" s="324"/>
      <c r="E323" s="324"/>
      <c r="F323" s="324"/>
      <c r="G323" s="324"/>
      <c r="H323" s="324"/>
      <c r="I323" s="324"/>
      <c r="J323" s="324"/>
      <c r="K323" s="324"/>
      <c r="L323" s="377"/>
    </row>
    <row r="324" spans="1:13">
      <c r="A324" s="11" t="s">
        <v>415</v>
      </c>
      <c r="B324" s="324">
        <v>13</v>
      </c>
      <c r="C324" s="324" t="s">
        <v>113</v>
      </c>
      <c r="D324" s="324"/>
      <c r="E324" s="324"/>
      <c r="F324" s="324"/>
      <c r="G324" s="324"/>
      <c r="H324" s="324"/>
      <c r="I324" s="324"/>
      <c r="J324" s="324"/>
      <c r="K324" s="324"/>
      <c r="L324" s="377"/>
    </row>
    <row r="325" spans="1:13">
      <c r="A325" t="s">
        <v>525</v>
      </c>
      <c r="B325" s="604">
        <v>1E-3</v>
      </c>
      <c r="C325" s="604" t="s">
        <v>112</v>
      </c>
      <c r="D325" s="324"/>
      <c r="E325" s="324"/>
      <c r="F325" s="324"/>
      <c r="G325" s="324"/>
      <c r="H325" s="324"/>
      <c r="I325" s="324"/>
      <c r="J325" s="324"/>
      <c r="K325" s="324"/>
      <c r="L325" s="377"/>
    </row>
    <row r="326" spans="1:13">
      <c r="A326" s="11" t="s">
        <v>524</v>
      </c>
      <c r="B326" s="433">
        <v>5.0000000000000001E-4</v>
      </c>
      <c r="C326" s="324" t="s">
        <v>112</v>
      </c>
      <c r="D326" s="324"/>
      <c r="E326" s="324"/>
      <c r="F326" s="324"/>
      <c r="G326" s="324"/>
      <c r="H326" s="324"/>
      <c r="I326" s="324"/>
      <c r="J326" s="324"/>
      <c r="K326" s="324"/>
      <c r="L326" s="377"/>
    </row>
    <row r="327" spans="1:13">
      <c r="A327" s="11"/>
      <c r="B327" s="433"/>
      <c r="C327" s="324"/>
      <c r="D327" s="324"/>
      <c r="E327" s="324"/>
      <c r="F327" s="324"/>
      <c r="G327" s="324"/>
      <c r="H327" s="324"/>
      <c r="I327" s="324"/>
      <c r="J327" s="324"/>
      <c r="K327" s="324"/>
      <c r="L327" s="377"/>
    </row>
    <row r="328" spans="1:13">
      <c r="A328" s="11"/>
      <c r="B328" s="324"/>
      <c r="C328" s="324"/>
      <c r="D328" s="324"/>
      <c r="E328" s="324"/>
      <c r="F328" s="324"/>
      <c r="G328" s="324"/>
      <c r="H328" s="324"/>
      <c r="I328" s="324"/>
      <c r="J328" s="324"/>
      <c r="K328" s="324"/>
      <c r="L328" s="377"/>
    </row>
    <row r="329" spans="1:13" ht="21">
      <c r="A329" s="608" t="s">
        <v>340</v>
      </c>
      <c r="D329" s="529" t="s">
        <v>408</v>
      </c>
      <c r="F329" s="592" t="s">
        <v>411</v>
      </c>
      <c r="G329" s="11"/>
      <c r="H329" s="591"/>
      <c r="I329" s="324"/>
      <c r="J329" s="324"/>
      <c r="K329" s="324"/>
      <c r="L329" s="377"/>
    </row>
    <row r="330" spans="1:13">
      <c r="A330" s="11" t="s">
        <v>246</v>
      </c>
      <c r="B330" s="436" t="s">
        <v>337</v>
      </c>
      <c r="C330" s="379"/>
      <c r="D330" s="335" t="s">
        <v>342</v>
      </c>
      <c r="E330" s="335"/>
      <c r="F330" s="528" t="s">
        <v>526</v>
      </c>
      <c r="G330" s="607" t="s">
        <v>487</v>
      </c>
      <c r="H330" s="324" t="s">
        <v>466</v>
      </c>
      <c r="I330" s="324" t="s">
        <v>485</v>
      </c>
      <c r="J330" s="324" t="s">
        <v>524</v>
      </c>
      <c r="K330" s="324"/>
      <c r="L330" s="324"/>
      <c r="M330" s="377"/>
    </row>
    <row r="331" spans="1:13">
      <c r="A331" s="32"/>
      <c r="B331" s="437" t="s">
        <v>112</v>
      </c>
      <c r="C331" s="393" t="s">
        <v>113</v>
      </c>
      <c r="D331" s="342" t="s">
        <v>112</v>
      </c>
      <c r="E331" s="342" t="s">
        <v>113</v>
      </c>
      <c r="F331" s="357" t="s">
        <v>113</v>
      </c>
      <c r="G331" s="342" t="s">
        <v>488</v>
      </c>
      <c r="H331" s="368" t="s">
        <v>113</v>
      </c>
      <c r="I331" s="368" t="s">
        <v>486</v>
      </c>
      <c r="J331" s="368" t="s">
        <v>113</v>
      </c>
      <c r="K331" s="324"/>
      <c r="L331" s="324"/>
      <c r="M331" s="377"/>
    </row>
    <row r="332" spans="1:13">
      <c r="A332" s="11"/>
      <c r="B332" s="436"/>
      <c r="C332" s="379"/>
      <c r="D332" s="607"/>
      <c r="E332" s="607"/>
      <c r="F332" s="603"/>
      <c r="G332" s="607"/>
      <c r="H332" s="324"/>
      <c r="I332" s="324"/>
      <c r="J332" s="324"/>
      <c r="K332" s="324"/>
      <c r="L332" s="324"/>
      <c r="M332" s="377"/>
    </row>
    <row r="333" spans="1:13">
      <c r="A333" t="s">
        <v>489</v>
      </c>
      <c r="B333" s="222">
        <f>B215</f>
        <v>0.02</v>
      </c>
      <c r="C333" s="379">
        <f>B333*25.4</f>
        <v>0.50800000000000001</v>
      </c>
      <c r="D333" s="640">
        <f>B333+$B$326</f>
        <v>2.0500000000000001E-2</v>
      </c>
      <c r="E333" s="375">
        <f>D333*25.4</f>
        <v>0.52069999999999994</v>
      </c>
      <c r="F333" s="374"/>
      <c r="G333" s="607"/>
      <c r="H333" s="324"/>
      <c r="I333" s="324"/>
      <c r="J333" s="324"/>
      <c r="K333" s="324"/>
      <c r="L333" s="324"/>
      <c r="M333" s="377"/>
    </row>
    <row r="334" spans="1:13">
      <c r="A334" s="66" t="s">
        <v>6</v>
      </c>
      <c r="B334" s="222">
        <f t="shared" ref="B334:B353" si="88">B216</f>
        <v>2.4E-2</v>
      </c>
      <c r="C334" s="439">
        <f>B334*25.4</f>
        <v>0.60960000000000003</v>
      </c>
      <c r="D334" s="640">
        <f t="shared" ref="D334:D353" si="89">B334+$B$326</f>
        <v>2.4500000000000001E-2</v>
      </c>
      <c r="E334" s="375">
        <f t="shared" ref="E334:E353" si="90">D334*25.4</f>
        <v>0.62229999999999996</v>
      </c>
      <c r="F334" s="374">
        <f t="shared" ref="F334:F353" si="91">(E334+J43)*B43</f>
        <v>13.081899999999997</v>
      </c>
      <c r="G334" s="324"/>
      <c r="H334" s="324">
        <f>F334</f>
        <v>13.081899999999997</v>
      </c>
      <c r="I334" s="324" t="str">
        <f>IF(H334&gt;$B$209, "yes", "no")</f>
        <v>yes</v>
      </c>
      <c r="J334" s="324">
        <f>H334-$B$324</f>
        <v>8.1899999999997419E-2</v>
      </c>
      <c r="K334" s="324"/>
      <c r="L334" s="324"/>
      <c r="M334" s="377"/>
    </row>
    <row r="335" spans="1:13">
      <c r="A335" s="66" t="s">
        <v>164</v>
      </c>
      <c r="B335" s="222">
        <f t="shared" si="88"/>
        <v>2.4E-2</v>
      </c>
      <c r="C335" s="439">
        <f t="shared" ref="C335:C353" si="92">B335*25.4</f>
        <v>0.60960000000000003</v>
      </c>
      <c r="D335" s="640">
        <f t="shared" si="89"/>
        <v>2.4500000000000001E-2</v>
      </c>
      <c r="E335" s="375">
        <f t="shared" si="90"/>
        <v>0.62229999999999996</v>
      </c>
      <c r="F335" s="374">
        <f t="shared" si="91"/>
        <v>13.092658620689654</v>
      </c>
      <c r="G335" s="324"/>
      <c r="H335" s="324">
        <f>F335</f>
        <v>13.092658620689654</v>
      </c>
      <c r="I335" s="324" t="str">
        <f t="shared" ref="I335:I353" si="93">IF(H335&gt;$B$209, "yes", "no")</f>
        <v>yes</v>
      </c>
      <c r="J335" s="324">
        <f t="shared" ref="J335:J353" si="94">H335-$B$324</f>
        <v>9.265862068965447E-2</v>
      </c>
      <c r="K335" s="324"/>
      <c r="L335" s="324"/>
      <c r="M335" s="377"/>
    </row>
    <row r="336" spans="1:13">
      <c r="A336" s="66" t="s">
        <v>9</v>
      </c>
      <c r="B336" s="222">
        <f t="shared" si="88"/>
        <v>2.3E-2</v>
      </c>
      <c r="C336" s="439">
        <f t="shared" si="92"/>
        <v>0.58419999999999994</v>
      </c>
      <c r="D336" s="640">
        <f t="shared" si="89"/>
        <v>2.35E-2</v>
      </c>
      <c r="E336" s="375">
        <f t="shared" si="90"/>
        <v>0.59689999999999999</v>
      </c>
      <c r="F336" s="374">
        <f t="shared" si="91"/>
        <v>13.168254545454538</v>
      </c>
      <c r="G336" s="324" t="s">
        <v>165</v>
      </c>
      <c r="H336" s="324">
        <f>F336-E336+C337</f>
        <v>13.130154545454538</v>
      </c>
      <c r="I336" s="324" t="str">
        <f t="shared" si="93"/>
        <v>yes</v>
      </c>
      <c r="J336" s="324">
        <f t="shared" si="94"/>
        <v>0.13015454545453764</v>
      </c>
      <c r="K336" s="324"/>
      <c r="L336" s="324"/>
      <c r="M336" s="377"/>
    </row>
    <row r="337" spans="1:13">
      <c r="A337" s="66" t="s">
        <v>165</v>
      </c>
      <c r="B337" s="222">
        <f t="shared" si="88"/>
        <v>2.1999999999999999E-2</v>
      </c>
      <c r="C337" s="439">
        <f t="shared" si="92"/>
        <v>0.55879999999999996</v>
      </c>
      <c r="D337" s="640">
        <f t="shared" si="89"/>
        <v>2.2499999999999999E-2</v>
      </c>
      <c r="E337" s="375">
        <f t="shared" si="90"/>
        <v>0.5714999999999999</v>
      </c>
      <c r="F337" s="374">
        <f t="shared" si="91"/>
        <v>13.030540540540546</v>
      </c>
      <c r="G337" s="324"/>
      <c r="H337" s="324">
        <f>F337</f>
        <v>13.030540540540546</v>
      </c>
      <c r="I337" s="324" t="str">
        <f t="shared" si="93"/>
        <v>yes</v>
      </c>
      <c r="J337" s="324">
        <f t="shared" si="94"/>
        <v>3.0540540540545891E-2</v>
      </c>
      <c r="K337" s="324"/>
      <c r="L337" s="324"/>
      <c r="M337" s="377"/>
    </row>
    <row r="338" spans="1:13">
      <c r="A338" s="66" t="s">
        <v>11</v>
      </c>
      <c r="B338" s="222">
        <f t="shared" si="88"/>
        <v>2.7E-2</v>
      </c>
      <c r="C338" s="439">
        <f t="shared" si="92"/>
        <v>0.68579999999999997</v>
      </c>
      <c r="D338" s="640">
        <f t="shared" si="89"/>
        <v>2.75E-2</v>
      </c>
      <c r="E338" s="375">
        <f t="shared" si="90"/>
        <v>0.69850000000000001</v>
      </c>
      <c r="F338" s="374">
        <f t="shared" si="91"/>
        <v>13.188499999999992</v>
      </c>
      <c r="G338" s="578" t="s">
        <v>6</v>
      </c>
      <c r="H338" s="324">
        <f>F338-E338+C334</f>
        <v>13.099599999999993</v>
      </c>
      <c r="I338" s="578" t="str">
        <f t="shared" si="93"/>
        <v>yes</v>
      </c>
      <c r="J338" s="324">
        <f t="shared" si="94"/>
        <v>9.9599999999993472E-2</v>
      </c>
      <c r="K338" s="324"/>
      <c r="L338" s="324"/>
      <c r="M338" s="377"/>
    </row>
    <row r="339" spans="1:13">
      <c r="A339" s="66" t="s">
        <v>226</v>
      </c>
      <c r="B339" s="222">
        <f t="shared" si="88"/>
        <v>2.5999999999999999E-2</v>
      </c>
      <c r="C339" s="439">
        <f t="shared" si="92"/>
        <v>0.66039999999999999</v>
      </c>
      <c r="D339" s="640">
        <f t="shared" si="89"/>
        <v>2.6499999999999999E-2</v>
      </c>
      <c r="E339" s="375">
        <f t="shared" si="90"/>
        <v>0.67309999999999992</v>
      </c>
      <c r="F339" s="374">
        <f t="shared" si="91"/>
        <v>13.062262162162167</v>
      </c>
      <c r="G339" s="578"/>
      <c r="H339" s="324">
        <f t="shared" ref="H339:H353" si="95">F339</f>
        <v>13.062262162162167</v>
      </c>
      <c r="I339" s="578" t="str">
        <f t="shared" si="93"/>
        <v>yes</v>
      </c>
      <c r="J339" s="324">
        <f t="shared" si="94"/>
        <v>6.2262162162166845E-2</v>
      </c>
      <c r="K339" s="324"/>
      <c r="L339" s="324"/>
      <c r="M339" s="377"/>
    </row>
    <row r="340" spans="1:13">
      <c r="A340" s="11" t="s">
        <v>13</v>
      </c>
      <c r="B340" s="222">
        <f t="shared" si="88"/>
        <v>3.1E-2</v>
      </c>
      <c r="C340" s="439">
        <f t="shared" si="92"/>
        <v>0.78739999999999999</v>
      </c>
      <c r="D340" s="640">
        <f t="shared" si="89"/>
        <v>3.15E-2</v>
      </c>
      <c r="E340" s="375">
        <f t="shared" si="90"/>
        <v>0.80009999999999992</v>
      </c>
      <c r="F340" s="374">
        <f t="shared" si="91"/>
        <v>13.005545454545446</v>
      </c>
      <c r="G340" s="578"/>
      <c r="H340" s="324">
        <f t="shared" si="95"/>
        <v>13.005545454545446</v>
      </c>
      <c r="I340" s="578" t="str">
        <f t="shared" si="93"/>
        <v>yes</v>
      </c>
      <c r="J340" s="324">
        <f t="shared" si="94"/>
        <v>5.5454545454463045E-3</v>
      </c>
      <c r="K340" s="324"/>
      <c r="L340" s="324"/>
      <c r="M340" s="377"/>
    </row>
    <row r="341" spans="1:13">
      <c r="A341" s="11" t="s">
        <v>15</v>
      </c>
      <c r="B341" s="222">
        <f t="shared" si="88"/>
        <v>3.2000000000000001E-2</v>
      </c>
      <c r="C341" s="439">
        <f t="shared" si="92"/>
        <v>0.81279999999999997</v>
      </c>
      <c r="D341" s="640">
        <f t="shared" si="89"/>
        <v>3.2500000000000001E-2</v>
      </c>
      <c r="E341" s="375">
        <f t="shared" si="90"/>
        <v>0.82550000000000001</v>
      </c>
      <c r="F341" s="374">
        <f t="shared" si="91"/>
        <v>13.107999999999997</v>
      </c>
      <c r="G341" s="578"/>
      <c r="H341" s="324">
        <f t="shared" si="95"/>
        <v>13.107999999999997</v>
      </c>
      <c r="I341" s="578" t="str">
        <f t="shared" si="93"/>
        <v>yes</v>
      </c>
      <c r="J341" s="324">
        <f t="shared" si="94"/>
        <v>0.10799999999999699</v>
      </c>
      <c r="K341" s="324"/>
      <c r="L341" s="324"/>
      <c r="M341" s="377"/>
    </row>
    <row r="342" spans="1:13">
      <c r="A342" s="11" t="s">
        <v>17</v>
      </c>
      <c r="B342" s="222">
        <f t="shared" si="88"/>
        <v>3.4000000000000002E-2</v>
      </c>
      <c r="C342" s="439">
        <f t="shared" si="92"/>
        <v>0.86360000000000003</v>
      </c>
      <c r="D342" s="640">
        <f t="shared" si="89"/>
        <v>3.4500000000000003E-2</v>
      </c>
      <c r="E342" s="375">
        <f t="shared" si="90"/>
        <v>0.87630000000000008</v>
      </c>
      <c r="F342" s="374">
        <f t="shared" si="91"/>
        <v>13.152304761904762</v>
      </c>
      <c r="G342" s="578" t="s">
        <v>15</v>
      </c>
      <c r="H342" s="324">
        <f>F342-E342+C341</f>
        <v>13.088804761904761</v>
      </c>
      <c r="I342" s="578" t="str">
        <f t="shared" si="93"/>
        <v>yes</v>
      </c>
      <c r="J342" s="324">
        <f t="shared" si="94"/>
        <v>8.8804761904761165E-2</v>
      </c>
      <c r="K342" s="324"/>
      <c r="L342" s="324"/>
      <c r="M342" s="377"/>
    </row>
    <row r="343" spans="1:13">
      <c r="A343" s="11" t="s">
        <v>19</v>
      </c>
      <c r="B343" s="222">
        <f t="shared" si="88"/>
        <v>3.7999999999999999E-2</v>
      </c>
      <c r="C343" s="439">
        <f t="shared" si="92"/>
        <v>0.96519999999999995</v>
      </c>
      <c r="D343" s="640">
        <f t="shared" si="89"/>
        <v>3.85E-2</v>
      </c>
      <c r="E343" s="375">
        <f t="shared" si="90"/>
        <v>0.97789999999999988</v>
      </c>
      <c r="F343" s="374">
        <f t="shared" si="91"/>
        <v>13.095480180180164</v>
      </c>
      <c r="G343" s="578" t="s">
        <v>17</v>
      </c>
      <c r="H343" s="324">
        <f>F343-E343+C342</f>
        <v>12.981180180180164</v>
      </c>
      <c r="I343" s="578" t="str">
        <f t="shared" si="93"/>
        <v>no</v>
      </c>
      <c r="J343" s="324">
        <f t="shared" si="94"/>
        <v>-1.8819819819835715E-2</v>
      </c>
      <c r="K343" s="324"/>
      <c r="L343" s="324"/>
      <c r="M343" s="377"/>
    </row>
    <row r="344" spans="1:13">
      <c r="A344" s="11" t="s">
        <v>168</v>
      </c>
      <c r="B344" s="222">
        <f t="shared" si="88"/>
        <v>3.7999999999999999E-2</v>
      </c>
      <c r="C344" s="439">
        <f t="shared" si="92"/>
        <v>0.96519999999999995</v>
      </c>
      <c r="D344" s="640">
        <f t="shared" si="89"/>
        <v>3.85E-2</v>
      </c>
      <c r="E344" s="375">
        <f t="shared" si="90"/>
        <v>0.97789999999999988</v>
      </c>
      <c r="F344" s="374">
        <f t="shared" si="91"/>
        <v>13.019711764705882</v>
      </c>
      <c r="G344" s="578"/>
      <c r="H344" s="324">
        <f t="shared" si="95"/>
        <v>13.019711764705882</v>
      </c>
      <c r="I344" s="578" t="str">
        <f t="shared" si="93"/>
        <v>yes</v>
      </c>
      <c r="J344" s="324">
        <f t="shared" si="94"/>
        <v>1.9711764705881762E-2</v>
      </c>
      <c r="K344" s="324"/>
      <c r="L344" s="324"/>
      <c r="M344" s="377"/>
    </row>
    <row r="345" spans="1:13">
      <c r="A345" s="11" t="s">
        <v>21</v>
      </c>
      <c r="B345" s="222">
        <f t="shared" si="88"/>
        <v>4.3999999999999997E-2</v>
      </c>
      <c r="C345" s="439">
        <f t="shared" si="92"/>
        <v>1.1175999999999999</v>
      </c>
      <c r="D345" s="640">
        <f t="shared" si="89"/>
        <v>4.4499999999999998E-2</v>
      </c>
      <c r="E345" s="375">
        <f t="shared" si="90"/>
        <v>1.1302999999999999</v>
      </c>
      <c r="F345" s="374">
        <f t="shared" si="91"/>
        <v>12.925000000000001</v>
      </c>
      <c r="G345" s="578"/>
      <c r="H345" s="324">
        <f t="shared" si="95"/>
        <v>12.925000000000001</v>
      </c>
      <c r="I345" s="578" t="str">
        <f t="shared" si="93"/>
        <v>no</v>
      </c>
      <c r="J345" s="324">
        <f t="shared" si="94"/>
        <v>-7.4999999999999289E-2</v>
      </c>
      <c r="K345" s="324"/>
      <c r="L345" s="324"/>
      <c r="M345" s="377"/>
    </row>
    <row r="346" spans="1:13">
      <c r="A346" s="11" t="s">
        <v>243</v>
      </c>
      <c r="B346" s="222">
        <f t="shared" si="88"/>
        <v>4.3999999999999997E-2</v>
      </c>
      <c r="C346" s="439">
        <f t="shared" si="92"/>
        <v>1.1175999999999999</v>
      </c>
      <c r="D346" s="640">
        <f t="shared" si="89"/>
        <v>4.4499999999999998E-2</v>
      </c>
      <c r="E346" s="375">
        <f t="shared" si="90"/>
        <v>1.1302999999999999</v>
      </c>
      <c r="F346" s="374">
        <f t="shared" si="91"/>
        <v>12.940484210526318</v>
      </c>
      <c r="G346" s="578"/>
      <c r="H346" s="324">
        <f t="shared" si="95"/>
        <v>12.940484210526318</v>
      </c>
      <c r="I346" s="578" t="str">
        <f t="shared" si="93"/>
        <v>no</v>
      </c>
      <c r="J346" s="324">
        <f t="shared" si="94"/>
        <v>-5.951578947368219E-2</v>
      </c>
      <c r="K346" s="324"/>
      <c r="L346" s="324"/>
      <c r="M346" s="377"/>
    </row>
    <row r="347" spans="1:13">
      <c r="A347" s="11" t="s">
        <v>22</v>
      </c>
      <c r="B347" s="222">
        <f t="shared" si="88"/>
        <v>0.05</v>
      </c>
      <c r="C347" s="439">
        <f t="shared" si="92"/>
        <v>1.27</v>
      </c>
      <c r="D347" s="640">
        <f t="shared" si="89"/>
        <v>5.0500000000000003E-2</v>
      </c>
      <c r="E347" s="375">
        <f t="shared" si="90"/>
        <v>1.2827</v>
      </c>
      <c r="F347" s="374">
        <f t="shared" si="91"/>
        <v>13.013896825396829</v>
      </c>
      <c r="G347" s="578"/>
      <c r="H347" s="324">
        <f t="shared" si="95"/>
        <v>13.013896825396829</v>
      </c>
      <c r="I347" s="578" t="str">
        <f t="shared" si="93"/>
        <v>yes</v>
      </c>
      <c r="J347" s="324">
        <f t="shared" si="94"/>
        <v>1.3896825396829016E-2</v>
      </c>
      <c r="K347" s="324"/>
      <c r="L347" s="324"/>
      <c r="M347" s="377"/>
    </row>
    <row r="348" spans="1:13">
      <c r="A348" s="11" t="s">
        <v>244</v>
      </c>
      <c r="B348" s="222">
        <f t="shared" si="88"/>
        <v>5.1999999999999998E-2</v>
      </c>
      <c r="C348" s="439">
        <f t="shared" si="92"/>
        <v>1.3208</v>
      </c>
      <c r="D348" s="640">
        <f t="shared" si="89"/>
        <v>5.2499999999999998E-2</v>
      </c>
      <c r="E348" s="375">
        <f t="shared" si="90"/>
        <v>1.3334999999999999</v>
      </c>
      <c r="F348" s="374">
        <f t="shared" si="91"/>
        <v>13.078214285714287</v>
      </c>
      <c r="G348" s="578" t="s">
        <v>22</v>
      </c>
      <c r="H348" s="324">
        <f>F348-E348+C347</f>
        <v>13.014714285714287</v>
      </c>
      <c r="I348" s="578" t="str">
        <f t="shared" si="93"/>
        <v>yes</v>
      </c>
      <c r="J348" s="324">
        <f t="shared" si="94"/>
        <v>1.4714285714287456E-2</v>
      </c>
      <c r="K348" s="324"/>
      <c r="L348" s="324"/>
      <c r="M348" s="377"/>
    </row>
    <row r="349" spans="1:13">
      <c r="A349" s="11" t="s">
        <v>24</v>
      </c>
      <c r="B349" s="222">
        <f t="shared" si="88"/>
        <v>6.7000000000000004E-2</v>
      </c>
      <c r="C349" s="439">
        <f t="shared" si="92"/>
        <v>1.7018</v>
      </c>
      <c r="D349" s="640">
        <f t="shared" si="89"/>
        <v>6.7500000000000004E-2</v>
      </c>
      <c r="E349" s="375">
        <f t="shared" si="90"/>
        <v>1.7144999999999999</v>
      </c>
      <c r="F349" s="374">
        <f t="shared" si="91"/>
        <v>13.026333333333334</v>
      </c>
      <c r="G349" s="324"/>
      <c r="H349" s="324">
        <f t="shared" si="95"/>
        <v>13.026333333333334</v>
      </c>
      <c r="I349" s="324" t="str">
        <f t="shared" si="93"/>
        <v>yes</v>
      </c>
      <c r="J349" s="324">
        <f t="shared" si="94"/>
        <v>2.6333333333333542E-2</v>
      </c>
      <c r="K349" s="324"/>
      <c r="L349" s="324"/>
      <c r="M349" s="377"/>
    </row>
    <row r="350" spans="1:13">
      <c r="A350" s="11" t="s">
        <v>26</v>
      </c>
      <c r="B350" s="222">
        <f t="shared" si="88"/>
        <v>9.1999999999999998E-2</v>
      </c>
      <c r="C350" s="439">
        <f t="shared" si="92"/>
        <v>2.3367999999999998</v>
      </c>
      <c r="D350" s="640">
        <f t="shared" si="89"/>
        <v>9.2499999999999999E-2</v>
      </c>
      <c r="E350" s="375">
        <f t="shared" si="90"/>
        <v>2.3494999999999999</v>
      </c>
      <c r="F350" s="374">
        <f t="shared" si="91"/>
        <v>13.012874999999998</v>
      </c>
      <c r="G350" s="324"/>
      <c r="H350" s="324">
        <f t="shared" si="95"/>
        <v>13.012874999999998</v>
      </c>
      <c r="I350" s="324" t="str">
        <f t="shared" si="93"/>
        <v>yes</v>
      </c>
      <c r="J350" s="324">
        <f t="shared" si="94"/>
        <v>1.2874999999997527E-2</v>
      </c>
      <c r="K350" s="324"/>
      <c r="L350" s="324"/>
      <c r="M350" s="377"/>
    </row>
    <row r="351" spans="1:13">
      <c r="A351" s="11" t="s">
        <v>239</v>
      </c>
      <c r="B351" s="222">
        <f t="shared" si="88"/>
        <v>0.121</v>
      </c>
      <c r="C351" s="439">
        <f t="shared" si="92"/>
        <v>3.0733999999999999</v>
      </c>
      <c r="D351" s="640">
        <f t="shared" si="89"/>
        <v>0.1215</v>
      </c>
      <c r="E351" s="375">
        <f t="shared" si="90"/>
        <v>3.0860999999999996</v>
      </c>
      <c r="F351" s="374">
        <f t="shared" si="91"/>
        <v>13.020078787878784</v>
      </c>
      <c r="G351" s="324"/>
      <c r="H351" s="324">
        <f t="shared" si="95"/>
        <v>13.020078787878784</v>
      </c>
      <c r="I351" s="324" t="str">
        <f t="shared" si="93"/>
        <v>yes</v>
      </c>
      <c r="J351" s="324">
        <f t="shared" si="94"/>
        <v>2.0078787878784254E-2</v>
      </c>
      <c r="K351" s="324"/>
      <c r="L351" s="324"/>
      <c r="M351" s="377"/>
    </row>
    <row r="352" spans="1:13">
      <c r="A352" s="11" t="s">
        <v>89</v>
      </c>
      <c r="B352" s="222">
        <f t="shared" si="88"/>
        <v>0.25</v>
      </c>
      <c r="C352" s="439">
        <f t="shared" si="92"/>
        <v>6.35</v>
      </c>
      <c r="D352" s="640">
        <f t="shared" si="89"/>
        <v>0.2505</v>
      </c>
      <c r="E352" s="375">
        <f t="shared" si="90"/>
        <v>6.3626999999999994</v>
      </c>
      <c r="F352" s="374">
        <f t="shared" si="91"/>
        <v>13.008033333333332</v>
      </c>
      <c r="G352" s="324"/>
      <c r="H352" s="324">
        <f t="shared" si="95"/>
        <v>13.008033333333332</v>
      </c>
      <c r="I352" s="324" t="str">
        <f t="shared" si="93"/>
        <v>yes</v>
      </c>
      <c r="J352" s="324">
        <f t="shared" si="94"/>
        <v>8.0333333333317825E-3</v>
      </c>
      <c r="K352" s="324"/>
      <c r="L352" s="324"/>
      <c r="M352" s="377"/>
    </row>
    <row r="353" spans="1:13">
      <c r="A353" s="32" t="s">
        <v>245</v>
      </c>
      <c r="B353" s="430">
        <f t="shared" si="88"/>
        <v>0.247</v>
      </c>
      <c r="C353" s="440">
        <f t="shared" si="92"/>
        <v>6.2737999999999996</v>
      </c>
      <c r="D353" s="641">
        <f t="shared" si="89"/>
        <v>0.2475</v>
      </c>
      <c r="E353" s="385">
        <f t="shared" si="90"/>
        <v>6.2864999999999993</v>
      </c>
      <c r="F353" s="533">
        <f t="shared" si="91"/>
        <v>12.989000000000001</v>
      </c>
      <c r="G353" s="368"/>
      <c r="H353" s="368">
        <f t="shared" si="95"/>
        <v>12.989000000000001</v>
      </c>
      <c r="I353" s="368" t="str">
        <f t="shared" si="93"/>
        <v>no</v>
      </c>
      <c r="J353" s="368">
        <f t="shared" si="94"/>
        <v>-1.0999999999999233E-2</v>
      </c>
      <c r="K353" s="324"/>
      <c r="L353" s="324"/>
      <c r="M353" s="377"/>
    </row>
    <row r="354" spans="1:13">
      <c r="A354" s="11"/>
      <c r="B354" s="324"/>
      <c r="C354" s="324"/>
      <c r="D354" s="324"/>
      <c r="E354" s="324"/>
      <c r="F354" s="324"/>
      <c r="G354" s="324"/>
      <c r="H354" s="324"/>
      <c r="I354" s="324"/>
      <c r="J354" s="324"/>
      <c r="K354" s="324"/>
      <c r="L354" s="377"/>
    </row>
    <row r="355" spans="1:13">
      <c r="A355" s="11"/>
      <c r="B355" s="324"/>
      <c r="C355" s="324"/>
      <c r="D355" s="324"/>
      <c r="E355" s="324"/>
      <c r="F355" s="324"/>
      <c r="G355" s="324"/>
      <c r="H355" s="324"/>
      <c r="I355" s="324"/>
      <c r="J355" s="324"/>
      <c r="K355" s="324"/>
      <c r="L355" s="377"/>
    </row>
    <row r="361" spans="1:13" s="447" customFormat="1" ht="15.75" thickBot="1"/>
    <row r="362" spans="1:13" ht="15.75" thickTop="1"/>
    <row r="363" spans="1:13" s="388" customFormat="1" ht="26.25">
      <c r="A363" s="388" t="s">
        <v>398</v>
      </c>
    </row>
    <row r="364" spans="1:13" ht="21">
      <c r="A364" s="526" t="s">
        <v>399</v>
      </c>
      <c r="B364" s="526"/>
      <c r="C364" s="526"/>
      <c r="D364" s="526"/>
      <c r="E364" s="526"/>
      <c r="F364" s="526"/>
      <c r="G364" s="526"/>
      <c r="H364" s="526"/>
      <c r="I364" s="526"/>
      <c r="J364" s="526"/>
      <c r="K364" s="526"/>
      <c r="L364" s="526"/>
    </row>
    <row r="365" spans="1:13" ht="21">
      <c r="A365" s="526"/>
      <c r="B365" s="526" t="s">
        <v>400</v>
      </c>
      <c r="C365" s="526"/>
      <c r="D365" s="526"/>
      <c r="E365" s="526"/>
      <c r="F365" s="526"/>
      <c r="G365" s="526"/>
      <c r="H365" s="526"/>
      <c r="I365" s="526" t="s">
        <v>417</v>
      </c>
      <c r="J365" s="526"/>
      <c r="K365" s="526"/>
      <c r="L365" s="526"/>
    </row>
    <row r="366" spans="1:13" ht="21">
      <c r="A366" s="526"/>
      <c r="B366" s="526" t="s">
        <v>401</v>
      </c>
      <c r="C366" s="526"/>
      <c r="D366" s="526"/>
      <c r="E366" s="526"/>
      <c r="F366" s="526"/>
      <c r="G366" s="526"/>
      <c r="H366" s="526"/>
      <c r="I366" t="s">
        <v>418</v>
      </c>
      <c r="K366" s="526"/>
      <c r="L366" s="526"/>
    </row>
    <row r="367" spans="1:13">
      <c r="I367" t="s">
        <v>419</v>
      </c>
    </row>
    <row r="368" spans="1:13">
      <c r="I368" s="57" t="s">
        <v>420</v>
      </c>
      <c r="J368" s="57"/>
    </row>
    <row r="369" spans="1:26">
      <c r="A369" s="554" t="s">
        <v>336</v>
      </c>
      <c r="B369" s="555">
        <f>0.001</f>
        <v>1E-3</v>
      </c>
      <c r="C369" s="556" t="s">
        <v>112</v>
      </c>
      <c r="D369" s="428"/>
      <c r="E369" s="57"/>
      <c r="F369" s="57"/>
      <c r="G369" s="57"/>
      <c r="H369" s="57"/>
      <c r="I369" t="s">
        <v>458</v>
      </c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 spans="1:26">
      <c r="A370" s="557"/>
      <c r="B370" s="558">
        <f>B369*25.4</f>
        <v>2.5399999999999999E-2</v>
      </c>
      <c r="C370" s="559" t="s">
        <v>113</v>
      </c>
      <c r="D370" s="428"/>
      <c r="E370" s="57"/>
      <c r="F370" s="57"/>
      <c r="G370" s="57"/>
      <c r="H370" s="57"/>
      <c r="I370" s="57" t="s">
        <v>421</v>
      </c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 spans="1:26">
      <c r="A371" s="557" t="s">
        <v>407</v>
      </c>
      <c r="B371" s="11"/>
      <c r="C371" s="4"/>
      <c r="D371" s="428"/>
      <c r="E371" s="57"/>
      <c r="F371" s="57"/>
      <c r="G371" s="57"/>
      <c r="H371" s="57"/>
      <c r="I371" t="s">
        <v>459</v>
      </c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 spans="1:26">
      <c r="A372" s="560" t="s">
        <v>416</v>
      </c>
      <c r="B372" s="216">
        <v>13.05</v>
      </c>
      <c r="C372" s="561" t="s">
        <v>113</v>
      </c>
      <c r="D372" s="428"/>
      <c r="E372" s="57"/>
      <c r="F372" s="57"/>
      <c r="G372" s="57"/>
      <c r="H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 spans="1:26">
      <c r="A373" s="589"/>
      <c r="B373" s="558"/>
      <c r="C373" s="589"/>
      <c r="D373" s="428"/>
      <c r="E373" s="57"/>
      <c r="F373" s="57"/>
      <c r="G373" s="57"/>
      <c r="H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 spans="1:26">
      <c r="A374" s="589"/>
      <c r="B374" s="558"/>
      <c r="C374" s="589"/>
      <c r="D374" s="428"/>
      <c r="E374" s="57"/>
      <c r="F374" s="57"/>
      <c r="G374" s="57"/>
      <c r="H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 spans="1:26">
      <c r="A375" s="589"/>
      <c r="B375" s="558"/>
      <c r="C375" s="589"/>
      <c r="D375" s="428"/>
      <c r="E375" s="57"/>
      <c r="F375" s="57"/>
      <c r="G375" s="57"/>
      <c r="H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 spans="1:26">
      <c r="A376" s="589"/>
      <c r="B376" s="558"/>
      <c r="C376" s="589"/>
      <c r="D376" s="428"/>
      <c r="E376" s="57"/>
      <c r="F376" s="57"/>
      <c r="G376" s="57"/>
      <c r="H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 spans="1:26" ht="26.25">
      <c r="A377" s="590" t="s">
        <v>465</v>
      </c>
      <c r="B377" s="558"/>
      <c r="C377" s="589"/>
      <c r="D377" s="428"/>
      <c r="E377" s="57"/>
      <c r="F377" s="57"/>
      <c r="G377" s="57"/>
      <c r="H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 spans="1:26">
      <c r="A378" s="428"/>
      <c r="B378" s="126"/>
      <c r="C378" s="126"/>
      <c r="D378" s="126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 spans="1:26" s="388" customFormat="1" ht="26.25">
      <c r="A379" s="427" t="s">
        <v>478</v>
      </c>
      <c r="B379" s="427"/>
      <c r="C379" s="427"/>
      <c r="D379" s="427"/>
      <c r="G379" s="541" t="s">
        <v>411</v>
      </c>
      <c r="K379" s="541" t="s">
        <v>425</v>
      </c>
    </row>
    <row r="380" spans="1:26" ht="21">
      <c r="A380" s="778" t="s">
        <v>340</v>
      </c>
      <c r="B380" s="778"/>
      <c r="E380" s="529" t="s">
        <v>408</v>
      </c>
      <c r="G380" s="529" t="s">
        <v>422</v>
      </c>
      <c r="H380" s="540"/>
      <c r="I380" s="583" t="s">
        <v>423</v>
      </c>
      <c r="J380" s="538"/>
      <c r="K380" s="529" t="s">
        <v>446</v>
      </c>
      <c r="N380" s="4"/>
      <c r="O380" s="542" t="s">
        <v>445</v>
      </c>
      <c r="P380" s="543"/>
      <c r="Q380" s="544"/>
      <c r="R380" s="545"/>
      <c r="S380" s="583" t="s">
        <v>463</v>
      </c>
      <c r="T380" s="15"/>
      <c r="U380" s="15"/>
      <c r="V380" s="6"/>
    </row>
    <row r="381" spans="1:26">
      <c r="A381" s="11" t="s">
        <v>246</v>
      </c>
      <c r="B381" s="519" t="s">
        <v>256</v>
      </c>
      <c r="C381" s="436" t="s">
        <v>337</v>
      </c>
      <c r="D381" s="379"/>
      <c r="E381" s="335" t="s">
        <v>342</v>
      </c>
      <c r="F381" s="335"/>
      <c r="G381" s="528" t="s">
        <v>410</v>
      </c>
      <c r="H381" s="335" t="s">
        <v>411</v>
      </c>
      <c r="I381" s="528" t="s">
        <v>410</v>
      </c>
      <c r="J381" s="335" t="s">
        <v>411</v>
      </c>
      <c r="K381" s="528" t="s">
        <v>412</v>
      </c>
      <c r="L381" s="335" t="s">
        <v>413</v>
      </c>
      <c r="M381" s="335" t="s">
        <v>413</v>
      </c>
      <c r="N381" s="519" t="s">
        <v>246</v>
      </c>
      <c r="O381" s="546" t="s">
        <v>412</v>
      </c>
      <c r="P381" s="534" t="s">
        <v>413</v>
      </c>
      <c r="Q381" s="534" t="s">
        <v>413</v>
      </c>
      <c r="R381" s="536" t="s">
        <v>246</v>
      </c>
      <c r="S381" s="528" t="s">
        <v>464</v>
      </c>
      <c r="T381" s="335" t="s">
        <v>413</v>
      </c>
      <c r="U381" s="335" t="s">
        <v>413</v>
      </c>
      <c r="V381" s="429" t="s">
        <v>246</v>
      </c>
      <c r="W381" s="522" t="s">
        <v>271</v>
      </c>
      <c r="X381" s="429" t="s">
        <v>271</v>
      </c>
    </row>
    <row r="382" spans="1:26">
      <c r="A382" s="32"/>
      <c r="B382" s="342" t="s">
        <v>112</v>
      </c>
      <c r="C382" s="437" t="s">
        <v>112</v>
      </c>
      <c r="D382" s="393" t="s">
        <v>113</v>
      </c>
      <c r="E382" s="342" t="s">
        <v>112</v>
      </c>
      <c r="F382" s="342" t="s">
        <v>113</v>
      </c>
      <c r="G382" s="357" t="s">
        <v>113</v>
      </c>
      <c r="H382" s="342" t="s">
        <v>409</v>
      </c>
      <c r="I382" s="580" t="s">
        <v>113</v>
      </c>
      <c r="J382" s="395" t="s">
        <v>409</v>
      </c>
      <c r="K382" s="530" t="s">
        <v>113</v>
      </c>
      <c r="L382" s="395" t="s">
        <v>282</v>
      </c>
      <c r="M382" s="395" t="s">
        <v>113</v>
      </c>
      <c r="N382" s="395" t="s">
        <v>414</v>
      </c>
      <c r="O382" s="547" t="s">
        <v>113</v>
      </c>
      <c r="P382" s="535" t="s">
        <v>282</v>
      </c>
      <c r="Q382" s="535" t="s">
        <v>113</v>
      </c>
      <c r="R382" s="537" t="s">
        <v>414</v>
      </c>
      <c r="S382" s="580" t="s">
        <v>113</v>
      </c>
      <c r="T382" s="395" t="s">
        <v>282</v>
      </c>
      <c r="U382" s="395" t="s">
        <v>113</v>
      </c>
      <c r="V382" s="532" t="s">
        <v>414</v>
      </c>
      <c r="W382" s="342" t="s">
        <v>307</v>
      </c>
      <c r="X382" s="393" t="s">
        <v>309</v>
      </c>
    </row>
    <row r="383" spans="1:26">
      <c r="B383" s="519"/>
      <c r="C383" s="436"/>
      <c r="D383" s="379"/>
      <c r="E383" s="519"/>
      <c r="F383" s="519"/>
      <c r="G383" s="521"/>
      <c r="H383" s="522"/>
      <c r="I383" s="528"/>
      <c r="J383" s="335"/>
      <c r="K383" s="521"/>
      <c r="L383" s="522"/>
      <c r="M383" s="519"/>
      <c r="N383" s="519"/>
      <c r="O383" s="546"/>
      <c r="P383" s="534"/>
      <c r="Q383" s="534"/>
      <c r="R383" s="536"/>
      <c r="S383" s="528"/>
      <c r="T383" s="335"/>
      <c r="U383" s="335"/>
      <c r="V383" s="429"/>
      <c r="W383" s="519"/>
      <c r="X383" s="520"/>
    </row>
    <row r="384" spans="1:26">
      <c r="A384" s="66" t="s">
        <v>6</v>
      </c>
      <c r="B384" s="334">
        <f t="shared" ref="B384:B403" si="96">N43</f>
        <v>2.4251968503937012E-2</v>
      </c>
      <c r="C384" s="436">
        <v>2.3E-2</v>
      </c>
      <c r="D384" s="376">
        <f>C384*25.4</f>
        <v>0.58419999999999994</v>
      </c>
      <c r="E384" s="334">
        <f t="shared" ref="E384:E403" si="97">C384+$B$369</f>
        <v>2.4E-2</v>
      </c>
      <c r="F384" s="334">
        <f>E384*25.4</f>
        <v>0.60960000000000003</v>
      </c>
      <c r="G384" s="531">
        <f t="shared" ref="G384:G403" si="98">(F384+J43)*B43</f>
        <v>12.916799999999999</v>
      </c>
      <c r="H384" s="324" t="str">
        <f t="shared" ref="H384:H403" si="99">IF(G384&gt;$B$372, "yes", "no")</f>
        <v>no</v>
      </c>
      <c r="I384" s="581">
        <f t="shared" ref="I384:I401" si="100">F384*(B43-1)+J43*B43+$F$384</f>
        <v>12.916799999999999</v>
      </c>
      <c r="J384" s="578" t="str">
        <f t="shared" ref="J384:J403" si="101">IF(I384&gt;$B$372, "yes", "no")</f>
        <v>no</v>
      </c>
      <c r="K384" s="374">
        <f>G384+F384</f>
        <v>13.526399999999999</v>
      </c>
      <c r="L384" s="324" t="s">
        <v>426</v>
      </c>
      <c r="M384" s="221">
        <f>B372+D386</f>
        <v>13.6088</v>
      </c>
      <c r="N384" s="539" t="str">
        <f t="shared" ref="N384:N403" si="102">IF(K384&gt;M384, "yes","no")</f>
        <v>no</v>
      </c>
      <c r="O384" s="548">
        <f t="shared" ref="O384:O403" si="103">I384+$F$384</f>
        <v>13.526399999999999</v>
      </c>
      <c r="P384" s="549" t="s">
        <v>444</v>
      </c>
      <c r="Q384" s="549">
        <f t="shared" ref="Q384:Q403" si="104">$B$372+$F$384</f>
        <v>13.659600000000001</v>
      </c>
      <c r="R384" s="550" t="str">
        <f>IF(O384&gt;Q384, "yes","no")</f>
        <v>no</v>
      </c>
      <c r="S384" s="584">
        <f t="shared" ref="S384:S403" si="105">J444+$F$384</f>
        <v>13.526399999999999</v>
      </c>
      <c r="T384" s="441"/>
      <c r="U384" s="441"/>
      <c r="V384" s="586"/>
      <c r="W384" s="378" t="e">
        <f>#REF!/(#REF!/#REF!)</f>
        <v>#REF!</v>
      </c>
      <c r="X384" s="376" t="e">
        <f>(#REF!-0.18)/(#REF!/#REF!)</f>
        <v>#REF!</v>
      </c>
    </row>
    <row r="385" spans="1:24">
      <c r="A385" s="66" t="s">
        <v>164</v>
      </c>
      <c r="B385" s="334">
        <f t="shared" si="96"/>
        <v>2.4219386369807222E-2</v>
      </c>
      <c r="C385" s="436">
        <v>2.3E-2</v>
      </c>
      <c r="D385" s="376">
        <f t="shared" ref="D385:D403" si="106">C385*25.4</f>
        <v>0.58419999999999994</v>
      </c>
      <c r="E385" s="334">
        <f t="shared" si="97"/>
        <v>2.4E-2</v>
      </c>
      <c r="F385" s="334">
        <f t="shared" ref="F385:F403" si="107">E385*25.4</f>
        <v>0.60960000000000003</v>
      </c>
      <c r="G385" s="531">
        <f t="shared" si="98"/>
        <v>12.927558620689656</v>
      </c>
      <c r="H385" s="324" t="str">
        <f t="shared" si="99"/>
        <v>no</v>
      </c>
      <c r="I385" s="581">
        <f t="shared" si="100"/>
        <v>12.927558620689657</v>
      </c>
      <c r="J385" s="578" t="str">
        <f t="shared" si="101"/>
        <v>no</v>
      </c>
      <c r="K385" s="374">
        <f t="shared" ref="K385:K401" si="108">G385+F385</f>
        <v>13.537158620689656</v>
      </c>
      <c r="L385" s="324" t="s">
        <v>427</v>
      </c>
      <c r="M385" s="221">
        <f>B372+D387</f>
        <v>13.583400000000001</v>
      </c>
      <c r="N385" s="539" t="str">
        <f t="shared" si="102"/>
        <v>no</v>
      </c>
      <c r="O385" s="548">
        <f t="shared" si="103"/>
        <v>13.537158620689658</v>
      </c>
      <c r="P385" s="549" t="s">
        <v>444</v>
      </c>
      <c r="Q385" s="549">
        <f t="shared" si="104"/>
        <v>13.659600000000001</v>
      </c>
      <c r="R385" s="550" t="str">
        <f t="shared" ref="R385:R403" si="109">IF(O385&gt;Q385, "yes","no")</f>
        <v>no</v>
      </c>
      <c r="S385" s="584">
        <f t="shared" si="105"/>
        <v>13.537158620689658</v>
      </c>
      <c r="T385" s="441"/>
      <c r="U385" s="441"/>
      <c r="V385" s="586"/>
      <c r="W385" s="378" t="e">
        <f>#REF!/(#REF!/#REF!)</f>
        <v>#REF!</v>
      </c>
      <c r="X385" s="376" t="e">
        <f>(#REF!-0.18)/(#REF!/#REF!)</f>
        <v>#REF!</v>
      </c>
    </row>
    <row r="386" spans="1:24">
      <c r="A386" s="66" t="s">
        <v>9</v>
      </c>
      <c r="B386" s="334">
        <f t="shared" si="96"/>
        <v>2.2947983774755456E-2</v>
      </c>
      <c r="C386" s="436">
        <v>2.1999999999999999E-2</v>
      </c>
      <c r="D386" s="376">
        <f t="shared" si="106"/>
        <v>0.55879999999999996</v>
      </c>
      <c r="E386" s="334">
        <f t="shared" si="97"/>
        <v>2.3E-2</v>
      </c>
      <c r="F386" s="334">
        <f t="shared" si="107"/>
        <v>0.58419999999999994</v>
      </c>
      <c r="G386" s="531">
        <f t="shared" si="98"/>
        <v>13.015854545454536</v>
      </c>
      <c r="H386" s="324" t="str">
        <f t="shared" si="99"/>
        <v>no</v>
      </c>
      <c r="I386" s="581">
        <f t="shared" si="100"/>
        <v>13.041254545454537</v>
      </c>
      <c r="J386" s="578" t="str">
        <f t="shared" si="101"/>
        <v>no</v>
      </c>
      <c r="K386" s="374">
        <f t="shared" si="108"/>
        <v>13.600054545454535</v>
      </c>
      <c r="L386" s="324" t="s">
        <v>428</v>
      </c>
      <c r="M386" s="221">
        <f>B372+D388</f>
        <v>13.7104</v>
      </c>
      <c r="N386" s="539" t="str">
        <f t="shared" si="102"/>
        <v>no</v>
      </c>
      <c r="O386" s="548">
        <f t="shared" si="103"/>
        <v>13.650854545454537</v>
      </c>
      <c r="P386" s="549" t="s">
        <v>444</v>
      </c>
      <c r="Q386" s="549">
        <f t="shared" si="104"/>
        <v>13.659600000000001</v>
      </c>
      <c r="R386" s="550" t="str">
        <f t="shared" si="109"/>
        <v>no</v>
      </c>
      <c r="S386" s="584">
        <f t="shared" si="105"/>
        <v>13.930254545454538</v>
      </c>
      <c r="T386" s="441"/>
      <c r="U386" s="441"/>
      <c r="V386" s="586"/>
      <c r="W386" s="378" t="e">
        <f>#REF!/(#REF!/#REF!)</f>
        <v>#REF!</v>
      </c>
      <c r="X386" s="376" t="e">
        <f>(#REF!-0.18)/(#REF!/#REF!)</f>
        <v>#REF!</v>
      </c>
    </row>
    <row r="387" spans="1:24">
      <c r="A387" s="66" t="s">
        <v>165</v>
      </c>
      <c r="B387" s="334">
        <f t="shared" si="96"/>
        <v>2.2399801376179307E-2</v>
      </c>
      <c r="C387" s="436">
        <v>2.1000000000000001E-2</v>
      </c>
      <c r="D387" s="376">
        <f t="shared" si="106"/>
        <v>0.53339999999999999</v>
      </c>
      <c r="E387" s="334">
        <f t="shared" si="97"/>
        <v>2.2000000000000002E-2</v>
      </c>
      <c r="F387" s="334">
        <f t="shared" si="107"/>
        <v>0.55880000000000007</v>
      </c>
      <c r="G387" s="531">
        <f t="shared" si="98"/>
        <v>12.878140540540546</v>
      </c>
      <c r="H387" s="324" t="str">
        <f t="shared" si="99"/>
        <v>no</v>
      </c>
      <c r="I387" s="581">
        <f t="shared" si="100"/>
        <v>12.928940540540548</v>
      </c>
      <c r="J387" s="578" t="str">
        <f t="shared" si="101"/>
        <v>no</v>
      </c>
      <c r="K387" s="374">
        <f t="shared" si="108"/>
        <v>13.436940540540546</v>
      </c>
      <c r="L387" s="324" t="s">
        <v>429</v>
      </c>
      <c r="M387" s="221">
        <f>B372+D389</f>
        <v>13.685</v>
      </c>
      <c r="N387" s="539" t="str">
        <f t="shared" si="102"/>
        <v>no</v>
      </c>
      <c r="O387" s="548">
        <f t="shared" si="103"/>
        <v>13.538540540540549</v>
      </c>
      <c r="P387" s="549" t="s">
        <v>444</v>
      </c>
      <c r="Q387" s="549">
        <f t="shared" si="104"/>
        <v>13.659600000000001</v>
      </c>
      <c r="R387" s="550" t="str">
        <f t="shared" si="109"/>
        <v>no</v>
      </c>
      <c r="S387" s="584">
        <f t="shared" si="105"/>
        <v>13.817940540540544</v>
      </c>
      <c r="T387" s="441"/>
      <c r="U387" s="441"/>
      <c r="V387" s="586"/>
      <c r="W387" s="378" t="e">
        <f>#REF!/(#REF!/#REF!)</f>
        <v>#REF!</v>
      </c>
      <c r="X387" s="376" t="e">
        <f>(#REF!-0.18)/(#REF!/#REF!)</f>
        <v>#REF!</v>
      </c>
    </row>
    <row r="388" spans="1:24">
      <c r="A388" s="66" t="s">
        <v>11</v>
      </c>
      <c r="B388" s="334">
        <f t="shared" si="96"/>
        <v>2.6825340014316426E-2</v>
      </c>
      <c r="C388" s="436">
        <v>2.5999999999999999E-2</v>
      </c>
      <c r="D388" s="376">
        <f t="shared" si="106"/>
        <v>0.66039999999999999</v>
      </c>
      <c r="E388" s="334">
        <f t="shared" si="97"/>
        <v>2.7E-2</v>
      </c>
      <c r="F388" s="334">
        <f t="shared" si="107"/>
        <v>0.68579999999999997</v>
      </c>
      <c r="G388" s="531">
        <f t="shared" si="98"/>
        <v>13.048799999999989</v>
      </c>
      <c r="H388" s="324" t="str">
        <f t="shared" si="99"/>
        <v>no</v>
      </c>
      <c r="I388" s="581">
        <f t="shared" si="100"/>
        <v>12.972599999999993</v>
      </c>
      <c r="J388" s="578" t="str">
        <f t="shared" si="101"/>
        <v>no</v>
      </c>
      <c r="K388" s="374">
        <f t="shared" si="108"/>
        <v>13.73459999999999</v>
      </c>
      <c r="L388" s="324" t="s">
        <v>430</v>
      </c>
      <c r="M388" s="221">
        <f>B372+D390</f>
        <v>13.812000000000001</v>
      </c>
      <c r="N388" s="539" t="str">
        <f t="shared" si="102"/>
        <v>no</v>
      </c>
      <c r="O388" s="548">
        <f t="shared" si="103"/>
        <v>13.582199999999993</v>
      </c>
      <c r="P388" s="549" t="s">
        <v>444</v>
      </c>
      <c r="Q388" s="549">
        <f t="shared" si="104"/>
        <v>13.659600000000001</v>
      </c>
      <c r="R388" s="550" t="str">
        <f t="shared" si="109"/>
        <v>no</v>
      </c>
      <c r="S388" s="584">
        <f t="shared" si="105"/>
        <v>13.836199999999991</v>
      </c>
      <c r="T388" s="441"/>
      <c r="U388" s="441"/>
      <c r="V388" s="586"/>
      <c r="W388" s="378" t="e">
        <f>#REF!/(#REF!/#REF!)</f>
        <v>#REF!</v>
      </c>
      <c r="X388" s="376" t="e">
        <f>(#REF!-0.18)/(#REF!/#REF!)</f>
        <v>#REF!</v>
      </c>
    </row>
    <row r="389" spans="1:24">
      <c r="A389" s="66" t="s">
        <v>226</v>
      </c>
      <c r="B389" s="334">
        <f t="shared" si="96"/>
        <v>2.6277157615740277E-2</v>
      </c>
      <c r="C389" s="436">
        <v>2.5000000000000001E-2</v>
      </c>
      <c r="D389" s="376">
        <f t="shared" si="106"/>
        <v>0.63500000000000001</v>
      </c>
      <c r="E389" s="334">
        <f t="shared" si="97"/>
        <v>2.6000000000000002E-2</v>
      </c>
      <c r="F389" s="334">
        <f t="shared" si="107"/>
        <v>0.66039999999999999</v>
      </c>
      <c r="G389" s="531">
        <f t="shared" si="98"/>
        <v>12.922562162162166</v>
      </c>
      <c r="H389" s="324" t="str">
        <f t="shared" si="99"/>
        <v>no</v>
      </c>
      <c r="I389" s="581">
        <f t="shared" si="100"/>
        <v>12.871762162162167</v>
      </c>
      <c r="J389" s="578" t="str">
        <f t="shared" si="101"/>
        <v>no</v>
      </c>
      <c r="K389" s="374">
        <f t="shared" si="108"/>
        <v>13.582962162162165</v>
      </c>
      <c r="L389" s="324" t="s">
        <v>430</v>
      </c>
      <c r="M389" s="221">
        <f>B372+D390</f>
        <v>13.812000000000001</v>
      </c>
      <c r="N389" s="539" t="str">
        <f t="shared" si="102"/>
        <v>no</v>
      </c>
      <c r="O389" s="548">
        <f t="shared" si="103"/>
        <v>13.481362162162167</v>
      </c>
      <c r="P389" s="549" t="s">
        <v>444</v>
      </c>
      <c r="Q389" s="549">
        <f t="shared" si="104"/>
        <v>13.659600000000001</v>
      </c>
      <c r="R389" s="550" t="str">
        <f t="shared" si="109"/>
        <v>no</v>
      </c>
      <c r="S389" s="584">
        <f t="shared" si="105"/>
        <v>13.709962162162167</v>
      </c>
      <c r="T389" s="441"/>
      <c r="U389" s="441"/>
      <c r="V389" s="586"/>
      <c r="W389" s="378" t="e">
        <f>#REF!/(#REF!/#REF!)</f>
        <v>#REF!</v>
      </c>
      <c r="X389" s="376" t="e">
        <f>(#REF!-0.18)/(#REF!/#REF!)</f>
        <v>#REF!</v>
      </c>
    </row>
    <row r="390" spans="1:24">
      <c r="A390" s="11" t="s">
        <v>13</v>
      </c>
      <c r="B390" s="334">
        <f t="shared" si="96"/>
        <v>3.1478167501789583E-2</v>
      </c>
      <c r="C390" s="436">
        <v>0.03</v>
      </c>
      <c r="D390" s="376">
        <f t="shared" si="106"/>
        <v>0.7619999999999999</v>
      </c>
      <c r="E390" s="334">
        <f t="shared" si="97"/>
        <v>3.1E-2</v>
      </c>
      <c r="F390" s="334">
        <f t="shared" si="107"/>
        <v>0.78739999999999999</v>
      </c>
      <c r="G390" s="531">
        <f t="shared" si="98"/>
        <v>12.878545454545447</v>
      </c>
      <c r="H390" s="324" t="str">
        <f t="shared" si="99"/>
        <v>no</v>
      </c>
      <c r="I390" s="581">
        <f t="shared" si="100"/>
        <v>12.700745454545448</v>
      </c>
      <c r="J390" s="578" t="str">
        <f t="shared" si="101"/>
        <v>no</v>
      </c>
      <c r="K390" s="374">
        <f t="shared" si="108"/>
        <v>13.665945454545447</v>
      </c>
      <c r="L390" s="324" t="s">
        <v>431</v>
      </c>
      <c r="M390" s="221">
        <f>B372+D391</f>
        <v>13.837400000000001</v>
      </c>
      <c r="N390" s="539" t="str">
        <f t="shared" si="102"/>
        <v>no</v>
      </c>
      <c r="O390" s="548">
        <f t="shared" si="103"/>
        <v>13.310345454545448</v>
      </c>
      <c r="P390" s="549" t="s">
        <v>444</v>
      </c>
      <c r="Q390" s="549">
        <f t="shared" si="104"/>
        <v>13.659600000000001</v>
      </c>
      <c r="R390" s="550" t="str">
        <f t="shared" si="109"/>
        <v>no</v>
      </c>
      <c r="S390" s="584">
        <f t="shared" si="105"/>
        <v>13.640545454545448</v>
      </c>
      <c r="T390" s="441"/>
      <c r="U390" s="441"/>
      <c r="V390" s="586"/>
      <c r="W390" s="378" t="e">
        <f>#REF!/(#REF!/#REF!)</f>
        <v>#REF!</v>
      </c>
      <c r="X390" s="376" t="e">
        <f>(#REF!-0.18)/(#REF!/#REF!)</f>
        <v>#REF!</v>
      </c>
    </row>
    <row r="391" spans="1:24">
      <c r="A391" s="11" t="s">
        <v>15</v>
      </c>
      <c r="B391" s="334">
        <f t="shared" si="96"/>
        <v>3.2027559055118122E-2</v>
      </c>
      <c r="C391" s="436">
        <v>3.1E-2</v>
      </c>
      <c r="D391" s="376">
        <f t="shared" si="106"/>
        <v>0.78739999999999999</v>
      </c>
      <c r="E391" s="334">
        <f t="shared" si="97"/>
        <v>3.2000000000000001E-2</v>
      </c>
      <c r="F391" s="334">
        <f t="shared" si="107"/>
        <v>0.81279999999999997</v>
      </c>
      <c r="G391" s="531">
        <f t="shared" si="98"/>
        <v>12.993699999999997</v>
      </c>
      <c r="H391" s="324" t="str">
        <f t="shared" si="99"/>
        <v>no</v>
      </c>
      <c r="I391" s="581">
        <f t="shared" si="100"/>
        <v>12.790499999999998</v>
      </c>
      <c r="J391" s="578" t="str">
        <f t="shared" si="101"/>
        <v>no</v>
      </c>
      <c r="K391" s="374">
        <f t="shared" si="108"/>
        <v>13.806499999999996</v>
      </c>
      <c r="L391" s="324" t="s">
        <v>432</v>
      </c>
      <c r="M391" s="221">
        <f>B372+D392</f>
        <v>13.888200000000001</v>
      </c>
      <c r="N391" s="539" t="str">
        <f t="shared" si="102"/>
        <v>no</v>
      </c>
      <c r="O391" s="548">
        <f t="shared" si="103"/>
        <v>13.400099999999998</v>
      </c>
      <c r="P391" s="549" t="s">
        <v>444</v>
      </c>
      <c r="Q391" s="549">
        <f t="shared" si="104"/>
        <v>13.659600000000001</v>
      </c>
      <c r="R391" s="550" t="str">
        <f t="shared" si="109"/>
        <v>no</v>
      </c>
      <c r="S391" s="584">
        <f t="shared" si="105"/>
        <v>13.806499999999998</v>
      </c>
      <c r="T391" s="441"/>
      <c r="U391" s="441"/>
      <c r="V391" s="586"/>
      <c r="W391" s="378" t="e">
        <f>#REF!/(#REF!/#REF!)</f>
        <v>#REF!</v>
      </c>
      <c r="X391" s="376" t="e">
        <f>(#REF!-0.18)/(#REF!/#REF!)</f>
        <v>#REF!</v>
      </c>
    </row>
    <row r="392" spans="1:24">
      <c r="A392" s="11" t="s">
        <v>17</v>
      </c>
      <c r="B392" s="334">
        <f t="shared" si="96"/>
        <v>3.3750468691413571E-2</v>
      </c>
      <c r="C392" s="436">
        <v>3.3000000000000002E-2</v>
      </c>
      <c r="D392" s="376">
        <f t="shared" si="106"/>
        <v>0.83819999999999995</v>
      </c>
      <c r="E392" s="334">
        <f t="shared" si="97"/>
        <v>3.4000000000000002E-2</v>
      </c>
      <c r="F392" s="334">
        <f t="shared" si="107"/>
        <v>0.86360000000000003</v>
      </c>
      <c r="G392" s="531">
        <f t="shared" si="98"/>
        <v>13.050704761904763</v>
      </c>
      <c r="H392" s="324" t="str">
        <f t="shared" si="99"/>
        <v>yes</v>
      </c>
      <c r="I392" s="581">
        <f t="shared" si="100"/>
        <v>12.796704761904763</v>
      </c>
      <c r="J392" s="578" t="str">
        <f t="shared" si="101"/>
        <v>no</v>
      </c>
      <c r="K392" s="374">
        <f t="shared" si="108"/>
        <v>13.914304761904763</v>
      </c>
      <c r="L392" s="324" t="s">
        <v>433</v>
      </c>
      <c r="M392" s="221">
        <f>B372+MIN(D393,D394)</f>
        <v>13.989800000000001</v>
      </c>
      <c r="N392" s="539" t="str">
        <f t="shared" si="102"/>
        <v>no</v>
      </c>
      <c r="O392" s="548">
        <f t="shared" si="103"/>
        <v>13.406304761904764</v>
      </c>
      <c r="P392" s="549" t="s">
        <v>444</v>
      </c>
      <c r="Q392" s="549">
        <f t="shared" si="104"/>
        <v>13.659600000000001</v>
      </c>
      <c r="R392" s="550" t="str">
        <f t="shared" si="109"/>
        <v>no</v>
      </c>
      <c r="S392" s="584">
        <f t="shared" si="105"/>
        <v>13.812704761904763</v>
      </c>
      <c r="T392" s="441"/>
      <c r="U392" s="441"/>
      <c r="V392" s="586"/>
      <c r="W392" s="378" t="e">
        <f>#REF!/(#REF!/#REF!)</f>
        <v>#REF!</v>
      </c>
      <c r="X392" s="376" t="e">
        <f>(#REF!-0.18)/(#REF!/#REF!)</f>
        <v>#REF!</v>
      </c>
    </row>
    <row r="393" spans="1:24">
      <c r="A393" s="11" t="s">
        <v>19</v>
      </c>
      <c r="B393" s="334">
        <f t="shared" si="96"/>
        <v>3.7962991112597495E-2</v>
      </c>
      <c r="C393" s="436">
        <v>3.6999999999999998E-2</v>
      </c>
      <c r="D393" s="376">
        <f t="shared" si="106"/>
        <v>0.93979999999999986</v>
      </c>
      <c r="E393" s="334">
        <f t="shared" si="97"/>
        <v>3.7999999999999999E-2</v>
      </c>
      <c r="F393" s="334">
        <f t="shared" si="107"/>
        <v>0.96519999999999995</v>
      </c>
      <c r="G393" s="531">
        <f t="shared" si="98"/>
        <v>13.006580180180165</v>
      </c>
      <c r="H393" s="324" t="str">
        <f t="shared" si="99"/>
        <v>no</v>
      </c>
      <c r="I393" s="581">
        <f t="shared" si="100"/>
        <v>12.650980180180166</v>
      </c>
      <c r="J393" s="578" t="str">
        <f t="shared" si="101"/>
        <v>no</v>
      </c>
      <c r="K393" s="374">
        <f t="shared" si="108"/>
        <v>13.971780180180165</v>
      </c>
      <c r="L393" s="324" t="s">
        <v>434</v>
      </c>
      <c r="M393" s="221">
        <f>B372+D395</f>
        <v>14.1676</v>
      </c>
      <c r="N393" s="539" t="str">
        <f t="shared" si="102"/>
        <v>no</v>
      </c>
      <c r="O393" s="548">
        <f t="shared" si="103"/>
        <v>13.260580180180167</v>
      </c>
      <c r="P393" s="549" t="s">
        <v>444</v>
      </c>
      <c r="Q393" s="549">
        <f t="shared" si="104"/>
        <v>13.659600000000001</v>
      </c>
      <c r="R393" s="550" t="str">
        <f t="shared" si="109"/>
        <v>no</v>
      </c>
      <c r="S393" s="584">
        <f t="shared" si="105"/>
        <v>13.692380180180168</v>
      </c>
      <c r="T393" s="441"/>
      <c r="U393" s="441"/>
      <c r="V393" s="586"/>
      <c r="W393" s="378" t="e">
        <f>#REF!/(#REF!/#REF!)</f>
        <v>#REF!</v>
      </c>
      <c r="X393" s="376" t="e">
        <f>(#REF!-0.18)/(#REF!/#REF!)</f>
        <v>#REF!</v>
      </c>
    </row>
    <row r="394" spans="1:24">
      <c r="A394" s="11" t="s">
        <v>168</v>
      </c>
      <c r="B394" s="334">
        <f t="shared" si="96"/>
        <v>3.8389135181631708E-2</v>
      </c>
      <c r="C394" s="436">
        <v>3.6999999999999998E-2</v>
      </c>
      <c r="D394" s="376">
        <f t="shared" si="106"/>
        <v>0.93979999999999986</v>
      </c>
      <c r="E394" s="334">
        <f t="shared" si="97"/>
        <v>3.7999999999999999E-2</v>
      </c>
      <c r="F394" s="334">
        <f t="shared" si="107"/>
        <v>0.96519999999999995</v>
      </c>
      <c r="G394" s="531">
        <f t="shared" si="98"/>
        <v>12.930811764705883</v>
      </c>
      <c r="H394" s="324" t="str">
        <f t="shared" si="99"/>
        <v>no</v>
      </c>
      <c r="I394" s="581">
        <f t="shared" si="100"/>
        <v>12.575211764705884</v>
      </c>
      <c r="J394" s="578" t="str">
        <f t="shared" si="101"/>
        <v>no</v>
      </c>
      <c r="K394" s="374">
        <f t="shared" si="108"/>
        <v>13.896011764705882</v>
      </c>
      <c r="L394" s="324" t="s">
        <v>435</v>
      </c>
      <c r="M394" s="221">
        <f>B372+D396</f>
        <v>14.1676</v>
      </c>
      <c r="N394" s="539" t="str">
        <f t="shared" si="102"/>
        <v>no</v>
      </c>
      <c r="O394" s="548">
        <f t="shared" si="103"/>
        <v>13.184811764705884</v>
      </c>
      <c r="P394" s="549" t="s">
        <v>444</v>
      </c>
      <c r="Q394" s="549">
        <f t="shared" si="104"/>
        <v>13.659600000000001</v>
      </c>
      <c r="R394" s="550" t="str">
        <f t="shared" si="109"/>
        <v>no</v>
      </c>
      <c r="S394" s="584">
        <f t="shared" si="105"/>
        <v>13.616611764705883</v>
      </c>
      <c r="T394" s="441"/>
      <c r="U394" s="441"/>
      <c r="V394" s="586"/>
      <c r="W394" s="378" t="e">
        <f>#REF!/(#REF!/#REF!)</f>
        <v>#REF!</v>
      </c>
      <c r="X394" s="376" t="e">
        <f>(#REF!-0.18)/(#REF!/#REF!)</f>
        <v>#REF!</v>
      </c>
    </row>
    <row r="395" spans="1:24">
      <c r="A395" s="11" t="s">
        <v>21</v>
      </c>
      <c r="B395" s="334">
        <f t="shared" si="96"/>
        <v>4.4992125984251945E-2</v>
      </c>
      <c r="C395" s="436">
        <v>4.3999999999999997E-2</v>
      </c>
      <c r="D395" s="376">
        <f t="shared" si="106"/>
        <v>1.1175999999999999</v>
      </c>
      <c r="E395" s="334">
        <f t="shared" si="97"/>
        <v>4.4999999999999998E-2</v>
      </c>
      <c r="F395" s="334">
        <f t="shared" si="107"/>
        <v>1.1429999999999998</v>
      </c>
      <c r="G395" s="531">
        <f t="shared" si="98"/>
        <v>13.001200000000001</v>
      </c>
      <c r="H395" s="324" t="str">
        <f t="shared" si="99"/>
        <v>no</v>
      </c>
      <c r="I395" s="581">
        <f t="shared" si="100"/>
        <v>12.467800000000002</v>
      </c>
      <c r="J395" s="578" t="str">
        <f t="shared" si="101"/>
        <v>no</v>
      </c>
      <c r="K395" s="374">
        <f t="shared" si="108"/>
        <v>14.144200000000001</v>
      </c>
      <c r="L395" s="324" t="s">
        <v>436</v>
      </c>
      <c r="M395" s="221">
        <f>B372+D397</f>
        <v>14.32</v>
      </c>
      <c r="N395" s="539" t="str">
        <f t="shared" si="102"/>
        <v>no</v>
      </c>
      <c r="O395" s="548">
        <f t="shared" si="103"/>
        <v>13.077400000000003</v>
      </c>
      <c r="P395" s="549" t="s">
        <v>444</v>
      </c>
      <c r="Q395" s="549">
        <f t="shared" si="104"/>
        <v>13.659600000000001</v>
      </c>
      <c r="R395" s="550" t="str">
        <f t="shared" si="109"/>
        <v>no</v>
      </c>
      <c r="S395" s="584">
        <f t="shared" si="105"/>
        <v>13.5854</v>
      </c>
      <c r="T395" s="441"/>
      <c r="U395" s="441"/>
      <c r="V395" s="586"/>
      <c r="W395" s="378" t="e">
        <f>#REF!/(#REF!/#REF!)</f>
        <v>#REF!</v>
      </c>
      <c r="X395" s="376" t="e">
        <f>(#REF!-0.18)/(#REF!/#REF!)</f>
        <v>#REF!</v>
      </c>
    </row>
    <row r="396" spans="1:24">
      <c r="A396" s="11" t="s">
        <v>243</v>
      </c>
      <c r="B396" s="334">
        <f t="shared" si="96"/>
        <v>4.4890523552976916E-2</v>
      </c>
      <c r="C396" s="436">
        <v>4.3999999999999997E-2</v>
      </c>
      <c r="D396" s="376">
        <f t="shared" si="106"/>
        <v>1.1175999999999999</v>
      </c>
      <c r="E396" s="334">
        <f t="shared" si="97"/>
        <v>4.4999999999999998E-2</v>
      </c>
      <c r="F396" s="334">
        <f t="shared" si="107"/>
        <v>1.1429999999999998</v>
      </c>
      <c r="G396" s="531">
        <f t="shared" si="98"/>
        <v>13.016684210526316</v>
      </c>
      <c r="H396" s="324" t="str">
        <f t="shared" si="99"/>
        <v>no</v>
      </c>
      <c r="I396" s="581">
        <f t="shared" si="100"/>
        <v>12.483284210526318</v>
      </c>
      <c r="J396" s="578" t="str">
        <f t="shared" si="101"/>
        <v>no</v>
      </c>
      <c r="K396" s="374">
        <f t="shared" si="108"/>
        <v>14.159684210526315</v>
      </c>
      <c r="L396" s="324" t="s">
        <v>437</v>
      </c>
      <c r="M396" s="221">
        <f>B372+D398</f>
        <v>14.345400000000001</v>
      </c>
      <c r="N396" s="539" t="str">
        <f t="shared" si="102"/>
        <v>no</v>
      </c>
      <c r="O396" s="548">
        <f t="shared" si="103"/>
        <v>13.092884210526318</v>
      </c>
      <c r="P396" s="549" t="s">
        <v>444</v>
      </c>
      <c r="Q396" s="549">
        <f t="shared" si="104"/>
        <v>13.659600000000001</v>
      </c>
      <c r="R396" s="550" t="str">
        <f t="shared" si="109"/>
        <v>no</v>
      </c>
      <c r="S396" s="584">
        <f t="shared" si="105"/>
        <v>13.600884210526317</v>
      </c>
      <c r="T396" s="441"/>
      <c r="U396" s="441"/>
      <c r="V396" s="586"/>
      <c r="W396" s="378" t="e">
        <f>#REF!/(#REF!/#REF!)</f>
        <v>#REF!</v>
      </c>
      <c r="X396" s="376" t="e">
        <f>(#REF!-0.18)/(#REF!/#REF!)</f>
        <v>#REF!</v>
      </c>
    </row>
    <row r="397" spans="1:24">
      <c r="A397" s="11" t="s">
        <v>22</v>
      </c>
      <c r="B397" s="334">
        <f t="shared" si="96"/>
        <v>5.0390576177977736E-2</v>
      </c>
      <c r="C397" s="436">
        <v>0.05</v>
      </c>
      <c r="D397" s="376">
        <f t="shared" si="106"/>
        <v>1.27</v>
      </c>
      <c r="E397" s="334">
        <f t="shared" si="97"/>
        <v>5.1000000000000004E-2</v>
      </c>
      <c r="F397" s="334">
        <f t="shared" si="107"/>
        <v>1.2954000000000001</v>
      </c>
      <c r="G397" s="531">
        <f t="shared" si="98"/>
        <v>13.077396825396828</v>
      </c>
      <c r="H397" s="324" t="str">
        <f t="shared" si="99"/>
        <v>yes</v>
      </c>
      <c r="I397" s="581">
        <f t="shared" si="100"/>
        <v>12.391596825396828</v>
      </c>
      <c r="J397" s="578" t="str">
        <f t="shared" si="101"/>
        <v>no</v>
      </c>
      <c r="K397" s="374">
        <f t="shared" si="108"/>
        <v>14.372796825396829</v>
      </c>
      <c r="L397" s="324" t="s">
        <v>438</v>
      </c>
      <c r="M397" s="221">
        <f>B372+D399</f>
        <v>14.751800000000001</v>
      </c>
      <c r="N397" s="539" t="str">
        <f t="shared" si="102"/>
        <v>no</v>
      </c>
      <c r="O397" s="548">
        <f t="shared" si="103"/>
        <v>13.001196825396828</v>
      </c>
      <c r="P397" s="549" t="s">
        <v>444</v>
      </c>
      <c r="Q397" s="549">
        <f t="shared" si="104"/>
        <v>13.659600000000001</v>
      </c>
      <c r="R397" s="550" t="str">
        <f t="shared" si="109"/>
        <v>no</v>
      </c>
      <c r="S397" s="584">
        <f t="shared" si="105"/>
        <v>13.686996825396829</v>
      </c>
      <c r="T397" s="441"/>
      <c r="U397" s="441"/>
      <c r="V397" s="586"/>
      <c r="W397" s="378" t="e">
        <f>#REF!/(#REF!/#REF!)</f>
        <v>#REF!</v>
      </c>
      <c r="X397" s="376" t="e">
        <f>(#REF!-0.18)/(#REF!/#REF!)</f>
        <v>#REF!</v>
      </c>
    </row>
    <row r="398" spans="1:24">
      <c r="A398" s="11" t="s">
        <v>244</v>
      </c>
      <c r="B398" s="334">
        <f t="shared" si="96"/>
        <v>5.1884139482564665E-2</v>
      </c>
      <c r="C398" s="436">
        <v>5.0999999999999997E-2</v>
      </c>
      <c r="D398" s="376">
        <f t="shared" si="106"/>
        <v>1.2953999999999999</v>
      </c>
      <c r="E398" s="334">
        <f t="shared" si="97"/>
        <v>5.1999999999999998E-2</v>
      </c>
      <c r="F398" s="334">
        <f t="shared" si="107"/>
        <v>1.3208</v>
      </c>
      <c r="G398" s="531">
        <f t="shared" si="98"/>
        <v>13.014714285714287</v>
      </c>
      <c r="H398" s="324" t="str">
        <f t="shared" si="99"/>
        <v>no</v>
      </c>
      <c r="I398" s="581">
        <f t="shared" si="100"/>
        <v>12.303514285714289</v>
      </c>
      <c r="J398" s="578" t="str">
        <f t="shared" si="101"/>
        <v>no</v>
      </c>
      <c r="K398" s="374">
        <f t="shared" si="108"/>
        <v>14.335514285714288</v>
      </c>
      <c r="L398" s="324" t="s">
        <v>438</v>
      </c>
      <c r="M398" s="221">
        <f>B372+D399</f>
        <v>14.751800000000001</v>
      </c>
      <c r="N398" s="539" t="str">
        <f t="shared" si="102"/>
        <v>no</v>
      </c>
      <c r="O398" s="548">
        <f t="shared" si="103"/>
        <v>12.91311428571429</v>
      </c>
      <c r="P398" s="549" t="s">
        <v>444</v>
      </c>
      <c r="Q398" s="549">
        <f t="shared" si="104"/>
        <v>13.659600000000001</v>
      </c>
      <c r="R398" s="550" t="str">
        <f t="shared" si="109"/>
        <v>no</v>
      </c>
      <c r="S398" s="584">
        <f t="shared" si="105"/>
        <v>13.744314285714287</v>
      </c>
      <c r="T398" s="441"/>
      <c r="U398" s="441"/>
      <c r="V398" s="586"/>
      <c r="W398" s="378" t="e">
        <f>#REF!/(#REF!/#REF!)</f>
        <v>#REF!</v>
      </c>
      <c r="X398" s="376" t="e">
        <f>(#REF!-0.18)/(#REF!/#REF!)</f>
        <v>#REF!</v>
      </c>
    </row>
    <row r="399" spans="1:24">
      <c r="A399" s="11" t="s">
        <v>24</v>
      </c>
      <c r="B399" s="334">
        <f t="shared" si="96"/>
        <v>6.7240813648293957E-2</v>
      </c>
      <c r="C399" s="436">
        <v>6.7000000000000004E-2</v>
      </c>
      <c r="D399" s="376">
        <f t="shared" si="106"/>
        <v>1.7018</v>
      </c>
      <c r="E399" s="334">
        <f t="shared" si="97"/>
        <v>6.8000000000000005E-2</v>
      </c>
      <c r="F399" s="334">
        <f t="shared" si="107"/>
        <v>1.7272000000000001</v>
      </c>
      <c r="G399" s="531">
        <f t="shared" si="98"/>
        <v>13.077133333333334</v>
      </c>
      <c r="H399" s="324" t="str">
        <f t="shared" si="99"/>
        <v>yes</v>
      </c>
      <c r="I399" s="581">
        <f t="shared" si="100"/>
        <v>11.959533333333335</v>
      </c>
      <c r="J399" s="578" t="str">
        <f t="shared" si="101"/>
        <v>no</v>
      </c>
      <c r="K399" s="374">
        <f t="shared" si="108"/>
        <v>14.804333333333334</v>
      </c>
      <c r="L399" s="324" t="s">
        <v>439</v>
      </c>
      <c r="M399" s="221">
        <f>B372+D400</f>
        <v>15.386800000000001</v>
      </c>
      <c r="N399" s="539" t="str">
        <f t="shared" si="102"/>
        <v>no</v>
      </c>
      <c r="O399" s="548">
        <f t="shared" si="103"/>
        <v>12.569133333333335</v>
      </c>
      <c r="P399" s="549" t="s">
        <v>444</v>
      </c>
      <c r="Q399" s="549">
        <f t="shared" si="104"/>
        <v>13.659600000000001</v>
      </c>
      <c r="R399" s="550" t="str">
        <f t="shared" si="109"/>
        <v>no</v>
      </c>
      <c r="S399" s="584">
        <f t="shared" si="105"/>
        <v>13.686733333333335</v>
      </c>
      <c r="T399" s="441"/>
      <c r="U399" s="441"/>
      <c r="V399" s="586"/>
      <c r="W399" s="378" t="e">
        <f>#REF!/(#REF!/#REF!)</f>
        <v>#REF!</v>
      </c>
      <c r="X399" s="376" t="e">
        <f>(#REF!-0.18)/(#REF!/#REF!)</f>
        <v>#REF!</v>
      </c>
    </row>
    <row r="400" spans="1:24">
      <c r="A400" s="11" t="s">
        <v>26</v>
      </c>
      <c r="B400" s="334">
        <f t="shared" si="96"/>
        <v>9.2331036745406853E-2</v>
      </c>
      <c r="C400" s="436">
        <v>9.1999999999999998E-2</v>
      </c>
      <c r="D400" s="376">
        <f t="shared" si="106"/>
        <v>2.3367999999999998</v>
      </c>
      <c r="E400" s="334">
        <f t="shared" si="97"/>
        <v>9.2999999999999999E-2</v>
      </c>
      <c r="F400" s="334">
        <f t="shared" si="107"/>
        <v>2.3621999999999996</v>
      </c>
      <c r="G400" s="531">
        <f t="shared" si="98"/>
        <v>13.050974999999998</v>
      </c>
      <c r="H400" s="324" t="str">
        <f t="shared" si="99"/>
        <v>yes</v>
      </c>
      <c r="I400" s="581">
        <f t="shared" si="100"/>
        <v>11.298374999999997</v>
      </c>
      <c r="J400" s="578" t="str">
        <f t="shared" si="101"/>
        <v>no</v>
      </c>
      <c r="K400" s="374">
        <f t="shared" si="108"/>
        <v>15.413174999999997</v>
      </c>
      <c r="L400" s="324" t="s">
        <v>440</v>
      </c>
      <c r="M400" s="221">
        <f>B372+D401</f>
        <v>16.1234</v>
      </c>
      <c r="N400" s="539" t="str">
        <f t="shared" si="102"/>
        <v>no</v>
      </c>
      <c r="O400" s="548">
        <f t="shared" si="103"/>
        <v>11.907974999999997</v>
      </c>
      <c r="P400" s="549" t="s">
        <v>444</v>
      </c>
      <c r="Q400" s="549">
        <f t="shared" si="104"/>
        <v>13.659600000000001</v>
      </c>
      <c r="R400" s="550" t="str">
        <f t="shared" si="109"/>
        <v>no</v>
      </c>
      <c r="S400" s="584">
        <f t="shared" si="105"/>
        <v>13.660574999999998</v>
      </c>
      <c r="T400" s="441"/>
      <c r="U400" s="441"/>
      <c r="V400" s="586"/>
      <c r="W400" s="378" t="e">
        <f>#REF!/(#REF!/#REF!)</f>
        <v>#REF!</v>
      </c>
      <c r="X400" s="376" t="e">
        <f>(#REF!-0.18)/(#REF!/#REF!)</f>
        <v>#REF!</v>
      </c>
    </row>
    <row r="401" spans="1:28">
      <c r="A401" s="11" t="s">
        <v>239</v>
      </c>
      <c r="B401" s="334">
        <f t="shared" si="96"/>
        <v>0.12110474827010266</v>
      </c>
      <c r="C401" s="436">
        <v>0.121</v>
      </c>
      <c r="D401" s="376">
        <f t="shared" si="106"/>
        <v>3.0733999999999999</v>
      </c>
      <c r="E401" s="334">
        <f t="shared" si="97"/>
        <v>0.122</v>
      </c>
      <c r="F401" s="334">
        <f t="shared" si="107"/>
        <v>3.0987999999999998</v>
      </c>
      <c r="G401" s="531">
        <f t="shared" si="98"/>
        <v>13.045478787878785</v>
      </c>
      <c r="H401" s="324" t="str">
        <f t="shared" si="99"/>
        <v>no</v>
      </c>
      <c r="I401" s="581">
        <f t="shared" si="100"/>
        <v>10.556278787878785</v>
      </c>
      <c r="J401" s="578" t="str">
        <f t="shared" si="101"/>
        <v>no</v>
      </c>
      <c r="K401" s="374">
        <f t="shared" si="108"/>
        <v>16.144278787878786</v>
      </c>
      <c r="L401" s="324" t="s">
        <v>441</v>
      </c>
      <c r="M401" s="221">
        <f>B372+MIN(D402,D403)</f>
        <v>19.3492</v>
      </c>
      <c r="N401" s="539" t="str">
        <f t="shared" si="102"/>
        <v>no</v>
      </c>
      <c r="O401" s="548">
        <f t="shared" si="103"/>
        <v>11.165878787878786</v>
      </c>
      <c r="P401" s="549" t="s">
        <v>444</v>
      </c>
      <c r="Q401" s="549">
        <f t="shared" si="104"/>
        <v>13.659600000000001</v>
      </c>
      <c r="R401" s="550" t="str">
        <f t="shared" si="109"/>
        <v>no</v>
      </c>
      <c r="S401" s="584">
        <f t="shared" si="105"/>
        <v>13.655078787878786</v>
      </c>
      <c r="T401" s="441"/>
      <c r="U401" s="441"/>
      <c r="V401" s="586"/>
      <c r="W401" s="378" t="e">
        <f>#REF!/(#REF!/#REF!)</f>
        <v>#REF!</v>
      </c>
      <c r="X401" s="376" t="e">
        <f>(#REF!-0.18)/(#REF!/#REF!)</f>
        <v>#REF!</v>
      </c>
    </row>
    <row r="402" spans="1:28">
      <c r="A402" s="11" t="s">
        <v>89</v>
      </c>
      <c r="B402" s="334">
        <f t="shared" si="96"/>
        <v>0.25018372703412078</v>
      </c>
      <c r="C402" s="436">
        <v>0.25</v>
      </c>
      <c r="D402" s="376">
        <f t="shared" si="106"/>
        <v>6.35</v>
      </c>
      <c r="E402" s="531">
        <f t="shared" si="97"/>
        <v>0.251</v>
      </c>
      <c r="F402" s="324">
        <f t="shared" si="107"/>
        <v>6.3754</v>
      </c>
      <c r="G402" s="531">
        <f t="shared" si="98"/>
        <v>13.020733333333332</v>
      </c>
      <c r="H402" s="324" t="str">
        <f t="shared" si="99"/>
        <v>no</v>
      </c>
      <c r="I402" s="581">
        <f>F402*(B61)+J61*B61</f>
        <v>13.020733333333332</v>
      </c>
      <c r="J402" s="578" t="str">
        <f t="shared" si="101"/>
        <v>no</v>
      </c>
      <c r="K402" s="374">
        <f>G402+F384</f>
        <v>13.630333333333333</v>
      </c>
      <c r="L402" s="324" t="s">
        <v>442</v>
      </c>
      <c r="M402" s="221">
        <f>B372+D384</f>
        <v>13.6342</v>
      </c>
      <c r="N402" s="335" t="str">
        <f t="shared" si="102"/>
        <v>no</v>
      </c>
      <c r="O402" s="548">
        <f t="shared" si="103"/>
        <v>13.630333333333333</v>
      </c>
      <c r="P402" s="549" t="s">
        <v>444</v>
      </c>
      <c r="Q402" s="549">
        <f t="shared" si="104"/>
        <v>13.659600000000001</v>
      </c>
      <c r="R402" s="550" t="str">
        <f t="shared" si="109"/>
        <v>no</v>
      </c>
      <c r="S402" s="584">
        <f t="shared" si="105"/>
        <v>13.630333333333333</v>
      </c>
      <c r="T402" s="441"/>
      <c r="U402" s="441"/>
      <c r="V402" s="586"/>
      <c r="W402" s="378" t="e">
        <f>#REF!/(#REF!/#REF!)</f>
        <v>#REF!</v>
      </c>
      <c r="X402" s="376" t="e">
        <f>(#REF!-0.18)/(#REF!/#REF!)</f>
        <v>#REF!</v>
      </c>
    </row>
    <row r="403" spans="1:28">
      <c r="A403" s="32" t="s">
        <v>245</v>
      </c>
      <c r="B403" s="368">
        <f t="shared" si="96"/>
        <v>0.24793307086614172</v>
      </c>
      <c r="C403" s="437">
        <v>0.248</v>
      </c>
      <c r="D403" s="386">
        <f t="shared" si="106"/>
        <v>6.2991999999999999</v>
      </c>
      <c r="E403" s="438">
        <f t="shared" si="97"/>
        <v>0.249</v>
      </c>
      <c r="F403" s="368">
        <f t="shared" si="107"/>
        <v>6.3245999999999993</v>
      </c>
      <c r="G403" s="438">
        <f t="shared" si="98"/>
        <v>13.027100000000001</v>
      </c>
      <c r="H403" s="368" t="str">
        <f t="shared" si="99"/>
        <v>no</v>
      </c>
      <c r="I403" s="582">
        <f>F403*(B62)+J62*B62</f>
        <v>13.027100000000001</v>
      </c>
      <c r="J403" s="579" t="str">
        <f t="shared" si="101"/>
        <v>no</v>
      </c>
      <c r="K403" s="533">
        <f>G403+F385</f>
        <v>13.636700000000001</v>
      </c>
      <c r="L403" s="368" t="s">
        <v>443</v>
      </c>
      <c r="M403" s="432">
        <f>B372+D385</f>
        <v>13.6342</v>
      </c>
      <c r="N403" s="532" t="str">
        <f t="shared" si="102"/>
        <v>yes</v>
      </c>
      <c r="O403" s="551">
        <f t="shared" si="103"/>
        <v>13.636700000000001</v>
      </c>
      <c r="P403" s="552" t="s">
        <v>444</v>
      </c>
      <c r="Q403" s="552">
        <f t="shared" si="104"/>
        <v>13.659600000000001</v>
      </c>
      <c r="R403" s="553" t="str">
        <f t="shared" si="109"/>
        <v>no</v>
      </c>
      <c r="S403" s="584">
        <f t="shared" si="105"/>
        <v>13.636700000000001</v>
      </c>
      <c r="T403" s="585"/>
      <c r="U403" s="585"/>
      <c r="V403" s="587"/>
      <c r="W403" s="385" t="e">
        <f>#REF!/(#REF!/#REF!)</f>
        <v>#REF!</v>
      </c>
      <c r="X403" s="386" t="e">
        <f>(#REF!-0.18)/(#REF!/#REF!)</f>
        <v>#REF!</v>
      </c>
    </row>
    <row r="404" spans="1:28">
      <c r="A404" s="11"/>
      <c r="B404" s="324"/>
      <c r="C404" s="436"/>
      <c r="D404" s="375"/>
      <c r="E404" s="324"/>
      <c r="F404" s="324"/>
      <c r="G404" s="324"/>
      <c r="H404" s="324"/>
      <c r="I404" s="578"/>
      <c r="J404" s="578"/>
      <c r="K404" s="578"/>
      <c r="L404" s="578"/>
      <c r="M404" s="578"/>
      <c r="N404" s="578"/>
      <c r="O404" s="375"/>
      <c r="P404" s="324"/>
      <c r="Q404" s="221"/>
      <c r="R404" s="335"/>
      <c r="S404" s="549"/>
      <c r="T404" s="549"/>
      <c r="U404" s="549"/>
      <c r="V404" s="549"/>
      <c r="W404" s="441"/>
      <c r="X404" s="441"/>
      <c r="Y404" s="441"/>
      <c r="Z404" s="441"/>
      <c r="AA404" s="375"/>
      <c r="AB404" s="375"/>
    </row>
    <row r="405" spans="1:28">
      <c r="A405" s="11"/>
      <c r="B405" s="324"/>
      <c r="C405" s="436"/>
      <c r="D405" s="375"/>
      <c r="E405" s="324"/>
      <c r="F405" s="324"/>
      <c r="G405" s="324"/>
      <c r="H405" s="324"/>
      <c r="I405" s="578"/>
      <c r="J405" s="578"/>
      <c r="K405" s="578"/>
      <c r="L405" s="578"/>
      <c r="M405" s="578"/>
      <c r="N405" s="578"/>
      <c r="O405" s="375"/>
      <c r="P405" s="324"/>
      <c r="Q405" s="221"/>
      <c r="R405" s="335"/>
      <c r="S405" s="549"/>
      <c r="T405" s="549"/>
      <c r="U405" s="549"/>
      <c r="V405" s="549"/>
      <c r="W405" s="441"/>
      <c r="X405" s="441"/>
      <c r="Y405" s="441"/>
      <c r="Z405" s="441"/>
      <c r="AA405" s="375"/>
      <c r="AB405" s="375"/>
    </row>
    <row r="406" spans="1:28" ht="26.25">
      <c r="A406" s="427" t="s">
        <v>480</v>
      </c>
      <c r="B406" s="427"/>
      <c r="C406" s="427"/>
      <c r="D406" s="427"/>
      <c r="E406" s="324"/>
      <c r="F406" s="324"/>
      <c r="G406" s="324"/>
      <c r="H406" s="324"/>
      <c r="I406" s="324"/>
      <c r="J406" s="324"/>
      <c r="K406" s="324"/>
      <c r="M406" s="578"/>
      <c r="N406" s="578"/>
      <c r="O406" s="375"/>
      <c r="P406" s="324"/>
      <c r="Q406" s="221"/>
      <c r="R406" s="335"/>
      <c r="S406" s="549"/>
      <c r="T406" s="549"/>
      <c r="U406" s="549"/>
      <c r="V406" s="549"/>
      <c r="W406" s="441"/>
      <c r="X406" s="441"/>
      <c r="Y406" s="441"/>
      <c r="Z406" s="441"/>
      <c r="AA406" s="375"/>
      <c r="AB406" s="375"/>
    </row>
    <row r="407" spans="1:28" ht="21">
      <c r="A407" s="778" t="s">
        <v>340</v>
      </c>
      <c r="B407" s="778"/>
      <c r="E407" s="529" t="s">
        <v>476</v>
      </c>
      <c r="F407" s="4"/>
      <c r="G407" s="591" t="s">
        <v>467</v>
      </c>
      <c r="H407" s="324"/>
      <c r="I407" s="592" t="s">
        <v>468</v>
      </c>
      <c r="J407" s="324"/>
      <c r="K407" s="324"/>
      <c r="L407" s="439"/>
      <c r="M407" s="578"/>
      <c r="N407" s="578"/>
      <c r="O407" s="375"/>
      <c r="P407" s="324"/>
      <c r="Q407" s="221"/>
      <c r="R407" s="335"/>
      <c r="S407" s="549"/>
      <c r="T407" s="549"/>
      <c r="U407" s="549"/>
      <c r="V407" s="549"/>
      <c r="W407" s="441"/>
      <c r="X407" s="441"/>
      <c r="Y407" s="441"/>
      <c r="Z407" s="441"/>
      <c r="AA407" s="375"/>
      <c r="AB407" s="375"/>
    </row>
    <row r="408" spans="1:28">
      <c r="A408" s="11" t="s">
        <v>246</v>
      </c>
      <c r="B408" s="574" t="s">
        <v>256</v>
      </c>
      <c r="C408" s="436" t="s">
        <v>337</v>
      </c>
      <c r="D408" s="379"/>
      <c r="E408" s="324" t="s">
        <v>475</v>
      </c>
      <c r="F408" s="379" t="s">
        <v>477</v>
      </c>
      <c r="G408" s="324" t="s">
        <v>466</v>
      </c>
      <c r="H408" s="439" t="s">
        <v>467</v>
      </c>
      <c r="I408" s="324" t="s">
        <v>473</v>
      </c>
      <c r="J408" s="324" t="s">
        <v>468</v>
      </c>
      <c r="K408" s="324" t="s">
        <v>474</v>
      </c>
      <c r="L408" s="439" t="s">
        <v>481</v>
      </c>
      <c r="M408" s="578"/>
      <c r="N408" s="578"/>
      <c r="O408" s="375"/>
      <c r="P408" s="324"/>
      <c r="Q408" s="221"/>
      <c r="R408" s="335"/>
      <c r="S408" s="549"/>
      <c r="T408" s="549"/>
      <c r="U408" s="549"/>
      <c r="V408" s="549"/>
      <c r="W408" s="441"/>
      <c r="X408" s="441"/>
      <c r="Y408" s="441"/>
      <c r="Z408" s="441"/>
      <c r="AA408" s="375"/>
      <c r="AB408" s="375"/>
    </row>
    <row r="409" spans="1:28">
      <c r="A409" s="32"/>
      <c r="B409" s="342" t="s">
        <v>112</v>
      </c>
      <c r="C409" s="437" t="s">
        <v>112</v>
      </c>
      <c r="D409" s="393" t="s">
        <v>113</v>
      </c>
      <c r="E409" s="368" t="s">
        <v>113</v>
      </c>
      <c r="F409" s="393" t="s">
        <v>113</v>
      </c>
      <c r="G409" s="368" t="s">
        <v>113</v>
      </c>
      <c r="H409" s="440" t="s">
        <v>113</v>
      </c>
      <c r="I409" s="368"/>
      <c r="J409" s="368" t="s">
        <v>113</v>
      </c>
      <c r="K409" s="368"/>
      <c r="L409" s="439" t="s">
        <v>113</v>
      </c>
      <c r="M409" s="578"/>
      <c r="N409" s="578"/>
      <c r="O409" s="375"/>
      <c r="P409" s="324"/>
      <c r="Q409" s="221"/>
      <c r="R409" s="335"/>
      <c r="S409" s="549"/>
      <c r="T409" s="549"/>
      <c r="U409" s="549"/>
      <c r="V409" s="549"/>
      <c r="W409" s="441"/>
      <c r="X409" s="441"/>
      <c r="Y409" s="441"/>
      <c r="Z409" s="441"/>
      <c r="AA409" s="375"/>
      <c r="AB409" s="375"/>
    </row>
    <row r="410" spans="1:28">
      <c r="B410" s="574"/>
      <c r="C410" s="436"/>
      <c r="D410" s="575"/>
      <c r="E410" s="324"/>
      <c r="F410" s="379"/>
      <c r="G410" s="324"/>
      <c r="H410" s="439"/>
      <c r="I410" s="324"/>
      <c r="J410" s="324"/>
      <c r="K410" s="324"/>
      <c r="L410" s="439"/>
      <c r="M410" s="578"/>
      <c r="N410" s="578"/>
      <c r="O410" s="375"/>
      <c r="P410" s="324"/>
      <c r="Q410" s="221"/>
      <c r="R410" s="335"/>
      <c r="S410" s="549"/>
      <c r="T410" s="549"/>
      <c r="U410" s="549"/>
      <c r="V410" s="549"/>
      <c r="W410" s="441"/>
      <c r="X410" s="441"/>
      <c r="Y410" s="441"/>
      <c r="Z410" s="441"/>
      <c r="AA410" s="375"/>
      <c r="AB410" s="375"/>
    </row>
    <row r="411" spans="1:28">
      <c r="A411" s="66" t="s">
        <v>6</v>
      </c>
      <c r="B411" s="334">
        <f t="shared" ref="B411:D430" si="110">B384</f>
        <v>2.4251968503937012E-2</v>
      </c>
      <c r="C411" s="334">
        <f t="shared" si="110"/>
        <v>2.3E-2</v>
      </c>
      <c r="D411" s="439">
        <f t="shared" si="110"/>
        <v>0.58419999999999994</v>
      </c>
      <c r="E411" s="324">
        <f>(D411+D413)/2</f>
        <v>0.5714999999999999</v>
      </c>
      <c r="F411" s="439">
        <f>D413</f>
        <v>0.55879999999999996</v>
      </c>
      <c r="G411" s="324">
        <f t="shared" ref="G411:G430" si="111">(D411+J43)*B43</f>
        <v>12.586599999999997</v>
      </c>
      <c r="H411" s="439">
        <f>$B$372-G411</f>
        <v>0.46340000000000359</v>
      </c>
      <c r="I411" s="324" t="s">
        <v>469</v>
      </c>
      <c r="J411" s="324">
        <f>H411+D413</f>
        <v>1.0222000000000036</v>
      </c>
      <c r="K411" s="324" t="str">
        <f>IF(J411&gt;F411, "yes", "no")</f>
        <v>yes</v>
      </c>
      <c r="L411" s="594">
        <f>100*(J411/F411)</f>
        <v>182.92770221904144</v>
      </c>
      <c r="M411" s="578"/>
      <c r="N411" s="578"/>
      <c r="O411" s="375"/>
      <c r="P411" s="324"/>
      <c r="Q411" s="221"/>
      <c r="R411" s="335"/>
      <c r="S411" s="549"/>
      <c r="T411" s="549"/>
      <c r="U411" s="549"/>
      <c r="V411" s="549"/>
      <c r="W411" s="441"/>
      <c r="X411" s="441"/>
      <c r="Y411" s="441"/>
      <c r="Z411" s="441"/>
      <c r="AA411" s="375"/>
      <c r="AB411" s="375"/>
    </row>
    <row r="412" spans="1:28">
      <c r="A412" s="66" t="s">
        <v>164</v>
      </c>
      <c r="B412" s="334">
        <f t="shared" si="110"/>
        <v>2.4219386369807222E-2</v>
      </c>
      <c r="C412" s="334">
        <f t="shared" si="110"/>
        <v>2.3E-2</v>
      </c>
      <c r="D412" s="439">
        <f t="shared" si="110"/>
        <v>0.58419999999999994</v>
      </c>
      <c r="E412" s="324">
        <f>(D412+D414)/2</f>
        <v>0.55879999999999996</v>
      </c>
      <c r="F412" s="439">
        <f t="shared" ref="F412:F415" si="112">D414</f>
        <v>0.53339999999999999</v>
      </c>
      <c r="G412" s="324">
        <f t="shared" si="111"/>
        <v>12.597358620689656</v>
      </c>
      <c r="H412" s="439">
        <f t="shared" ref="H412:H430" si="113">$B$372-G412</f>
        <v>0.45264137931034476</v>
      </c>
      <c r="I412" s="324" t="s">
        <v>470</v>
      </c>
      <c r="J412" s="324">
        <f>H412+D414</f>
        <v>0.98604137931034475</v>
      </c>
      <c r="K412" s="324" t="str">
        <f t="shared" ref="K412:K430" si="114">IF(J412&gt;F412, "yes", "no")</f>
        <v>yes</v>
      </c>
      <c r="L412" s="594">
        <f t="shared" ref="L412:L430" si="115">100*(J412/F412)</f>
        <v>184.85965116429409</v>
      </c>
      <c r="M412" s="578"/>
      <c r="N412" s="578"/>
      <c r="O412" s="375"/>
      <c r="P412" s="324"/>
      <c r="Q412" s="221"/>
      <c r="R412" s="335"/>
      <c r="S412" s="549"/>
      <c r="T412" s="549"/>
      <c r="U412" s="549"/>
      <c r="V412" s="549"/>
      <c r="W412" s="441"/>
      <c r="X412" s="441"/>
      <c r="Y412" s="441"/>
      <c r="Z412" s="441"/>
      <c r="AA412" s="375"/>
      <c r="AB412" s="375"/>
    </row>
    <row r="413" spans="1:28">
      <c r="A413" s="66" t="s">
        <v>9</v>
      </c>
      <c r="B413" s="334">
        <f t="shared" si="110"/>
        <v>2.2947983774755456E-2</v>
      </c>
      <c r="C413" s="334">
        <f t="shared" si="110"/>
        <v>2.1999999999999999E-2</v>
      </c>
      <c r="D413" s="439">
        <f t="shared" si="110"/>
        <v>0.55879999999999996</v>
      </c>
      <c r="E413" s="324">
        <f>(D413+D415)/2</f>
        <v>0.60959999999999992</v>
      </c>
      <c r="F413" s="439">
        <f t="shared" si="112"/>
        <v>0.66039999999999999</v>
      </c>
      <c r="G413" s="324">
        <f t="shared" si="111"/>
        <v>12.711054545454537</v>
      </c>
      <c r="H413" s="439">
        <f t="shared" si="113"/>
        <v>0.33894545454546332</v>
      </c>
      <c r="I413" s="324" t="s">
        <v>471</v>
      </c>
      <c r="J413" s="324">
        <f>H413+D415</f>
        <v>0.99934545454546331</v>
      </c>
      <c r="K413" s="324" t="str">
        <f t="shared" si="114"/>
        <v>yes</v>
      </c>
      <c r="L413" s="594">
        <f t="shared" si="115"/>
        <v>151.32426628489753</v>
      </c>
      <c r="M413" s="578"/>
      <c r="N413" s="578"/>
      <c r="O413" s="375"/>
      <c r="P413" s="324"/>
      <c r="Q413" s="221"/>
      <c r="R413" s="335"/>
      <c r="S413" s="549"/>
      <c r="T413" s="549"/>
      <c r="U413" s="549"/>
      <c r="V413" s="549"/>
      <c r="W413" s="441"/>
      <c r="X413" s="441"/>
      <c r="Y413" s="441"/>
      <c r="Z413" s="441"/>
      <c r="AA413" s="375"/>
      <c r="AB413" s="375"/>
    </row>
    <row r="414" spans="1:28">
      <c r="A414" s="66" t="s">
        <v>165</v>
      </c>
      <c r="B414" s="334">
        <f t="shared" si="110"/>
        <v>2.2399801376179307E-2</v>
      </c>
      <c r="C414" s="334">
        <f t="shared" si="110"/>
        <v>2.1000000000000001E-2</v>
      </c>
      <c r="D414" s="439">
        <f t="shared" si="110"/>
        <v>0.53339999999999999</v>
      </c>
      <c r="E414" s="324">
        <f>(D414+D416)/2</f>
        <v>0.58420000000000005</v>
      </c>
      <c r="F414" s="439">
        <f t="shared" si="112"/>
        <v>0.63500000000000001</v>
      </c>
      <c r="G414" s="324">
        <f t="shared" si="111"/>
        <v>12.573340540540547</v>
      </c>
      <c r="H414" s="439">
        <f t="shared" si="113"/>
        <v>0.47665945945945332</v>
      </c>
      <c r="I414" s="593" t="s">
        <v>472</v>
      </c>
      <c r="J414" s="324">
        <f>H414+D416</f>
        <v>1.1116594594594533</v>
      </c>
      <c r="K414" s="324" t="str">
        <f t="shared" si="114"/>
        <v>yes</v>
      </c>
      <c r="L414" s="594">
        <f t="shared" si="115"/>
        <v>175.06448180463832</v>
      </c>
      <c r="M414" s="578"/>
      <c r="N414" s="578"/>
      <c r="O414" s="375"/>
      <c r="P414" s="324"/>
      <c r="Q414" s="221"/>
      <c r="R414" s="335"/>
      <c r="S414" s="549"/>
      <c r="T414" s="549"/>
      <c r="U414" s="549"/>
      <c r="V414" s="549"/>
      <c r="W414" s="441"/>
      <c r="X414" s="441"/>
      <c r="Y414" s="441"/>
      <c r="Z414" s="441"/>
      <c r="AA414" s="375"/>
      <c r="AB414" s="375"/>
    </row>
    <row r="415" spans="1:28">
      <c r="A415" s="66" t="s">
        <v>11</v>
      </c>
      <c r="B415" s="334">
        <f t="shared" si="110"/>
        <v>2.6825340014316426E-2</v>
      </c>
      <c r="C415" s="334">
        <f t="shared" si="110"/>
        <v>2.5999999999999999E-2</v>
      </c>
      <c r="D415" s="439">
        <f t="shared" si="110"/>
        <v>0.66039999999999999</v>
      </c>
      <c r="E415" s="324">
        <f>(D415+D417)/2</f>
        <v>0.71119999999999994</v>
      </c>
      <c r="F415" s="439">
        <f t="shared" si="112"/>
        <v>0.7619999999999999</v>
      </c>
      <c r="G415" s="324">
        <f t="shared" si="111"/>
        <v>12.769399999999992</v>
      </c>
      <c r="H415" s="439">
        <f t="shared" si="113"/>
        <v>0.28060000000000862</v>
      </c>
      <c r="I415" s="324" t="s">
        <v>287</v>
      </c>
      <c r="J415" s="324">
        <f>H415+D417</f>
        <v>1.0426000000000086</v>
      </c>
      <c r="K415" s="324" t="str">
        <f t="shared" si="114"/>
        <v>yes</v>
      </c>
      <c r="L415" s="594">
        <f t="shared" si="115"/>
        <v>136.82414698162845</v>
      </c>
      <c r="M415" s="578"/>
      <c r="N415" s="578"/>
      <c r="O415" s="375"/>
      <c r="P415" s="324"/>
      <c r="Q415" s="221"/>
      <c r="R415" s="335"/>
      <c r="S415" s="549"/>
      <c r="T415" s="549"/>
      <c r="U415" s="549"/>
      <c r="V415" s="549"/>
      <c r="W415" s="441"/>
      <c r="X415" s="441"/>
      <c r="Y415" s="441"/>
      <c r="Z415" s="441"/>
      <c r="AA415" s="375"/>
      <c r="AB415" s="375"/>
    </row>
    <row r="416" spans="1:28">
      <c r="A416" s="66" t="s">
        <v>226</v>
      </c>
      <c r="B416" s="334">
        <f t="shared" si="110"/>
        <v>2.6277157615740277E-2</v>
      </c>
      <c r="C416" s="334">
        <f t="shared" si="110"/>
        <v>2.5000000000000001E-2</v>
      </c>
      <c r="D416" s="439">
        <f t="shared" si="110"/>
        <v>0.63500000000000001</v>
      </c>
      <c r="E416" s="324">
        <f>(D416+D417)/2</f>
        <v>0.6984999999999999</v>
      </c>
      <c r="F416" s="439">
        <f>D417</f>
        <v>0.7619999999999999</v>
      </c>
      <c r="G416" s="324">
        <f t="shared" si="111"/>
        <v>12.643162162162167</v>
      </c>
      <c r="H416" s="439">
        <f t="shared" si="113"/>
        <v>0.40683783783783412</v>
      </c>
      <c r="I416" s="324" t="s">
        <v>287</v>
      </c>
      <c r="J416" s="324">
        <f>H416+D417</f>
        <v>1.1688378378378341</v>
      </c>
      <c r="K416" s="324" t="str">
        <f t="shared" si="114"/>
        <v>yes</v>
      </c>
      <c r="L416" s="594">
        <f t="shared" si="115"/>
        <v>153.39079236716987</v>
      </c>
      <c r="M416" s="578"/>
      <c r="N416" s="578"/>
      <c r="O416" s="375"/>
      <c r="P416" s="324"/>
      <c r="Q416" s="221"/>
      <c r="R416" s="335"/>
      <c r="S416" s="549"/>
      <c r="T416" s="549"/>
      <c r="U416" s="549"/>
      <c r="V416" s="549"/>
      <c r="W416" s="441"/>
      <c r="X416" s="441"/>
      <c r="Y416" s="441"/>
      <c r="Z416" s="441"/>
      <c r="AA416" s="375"/>
      <c r="AB416" s="375"/>
    </row>
    <row r="417" spans="1:28">
      <c r="A417" s="11" t="s">
        <v>13</v>
      </c>
      <c r="B417" s="334">
        <f t="shared" si="110"/>
        <v>3.1478167501789583E-2</v>
      </c>
      <c r="C417" s="334">
        <f t="shared" si="110"/>
        <v>0.03</v>
      </c>
      <c r="D417" s="439">
        <f t="shared" si="110"/>
        <v>0.7619999999999999</v>
      </c>
      <c r="E417" s="324">
        <f>(D417+D418)/2</f>
        <v>0.77469999999999994</v>
      </c>
      <c r="F417" s="439">
        <f t="shared" ref="F417:F419" si="116">D418</f>
        <v>0.78739999999999999</v>
      </c>
      <c r="G417" s="324">
        <f t="shared" si="111"/>
        <v>12.624545454545446</v>
      </c>
      <c r="H417" s="439">
        <f t="shared" si="113"/>
        <v>0.42545454545455463</v>
      </c>
      <c r="I417" s="324" t="s">
        <v>288</v>
      </c>
      <c r="J417" s="324">
        <f>H417+D418</f>
        <v>1.2128545454545545</v>
      </c>
      <c r="K417" s="324" t="str">
        <f t="shared" si="114"/>
        <v>yes</v>
      </c>
      <c r="L417" s="594">
        <f t="shared" si="115"/>
        <v>154.03283533839911</v>
      </c>
      <c r="M417" s="578"/>
      <c r="N417" s="578"/>
      <c r="O417" s="375"/>
      <c r="P417" s="324"/>
      <c r="Q417" s="221"/>
      <c r="R417" s="335"/>
      <c r="S417" s="549"/>
      <c r="T417" s="549"/>
      <c r="U417" s="549"/>
      <c r="V417" s="549"/>
      <c r="W417" s="441"/>
      <c r="X417" s="441"/>
      <c r="Y417" s="441"/>
      <c r="Z417" s="441"/>
      <c r="AA417" s="375"/>
      <c r="AB417" s="375"/>
    </row>
    <row r="418" spans="1:28">
      <c r="A418" s="11" t="s">
        <v>15</v>
      </c>
      <c r="B418" s="334">
        <f t="shared" si="110"/>
        <v>3.2027559055118122E-2</v>
      </c>
      <c r="C418" s="334">
        <f t="shared" si="110"/>
        <v>3.1E-2</v>
      </c>
      <c r="D418" s="439">
        <f t="shared" si="110"/>
        <v>0.78739999999999999</v>
      </c>
      <c r="E418" s="324">
        <f>(D418+D419)/2</f>
        <v>0.81279999999999997</v>
      </c>
      <c r="F418" s="439">
        <f t="shared" si="116"/>
        <v>0.83819999999999995</v>
      </c>
      <c r="G418" s="324">
        <f t="shared" si="111"/>
        <v>12.765099999999997</v>
      </c>
      <c r="H418" s="439">
        <f t="shared" si="113"/>
        <v>0.28490000000000393</v>
      </c>
      <c r="I418" s="324" t="s">
        <v>289</v>
      </c>
      <c r="J418" s="324">
        <f>H418+D419</f>
        <v>1.123100000000004</v>
      </c>
      <c r="K418" s="324" t="str">
        <f t="shared" si="114"/>
        <v>yes</v>
      </c>
      <c r="L418" s="594">
        <f t="shared" si="115"/>
        <v>133.98950131233644</v>
      </c>
      <c r="M418" s="578"/>
      <c r="N418" s="578"/>
      <c r="O418" s="375"/>
      <c r="P418" s="324"/>
      <c r="Q418" s="221"/>
      <c r="R418" s="335"/>
      <c r="S418" s="549"/>
      <c r="T418" s="549"/>
      <c r="U418" s="549"/>
      <c r="V418" s="549"/>
      <c r="W418" s="441"/>
      <c r="X418" s="441"/>
      <c r="Y418" s="441"/>
      <c r="Z418" s="441"/>
      <c r="AA418" s="375"/>
      <c r="AB418" s="375"/>
    </row>
    <row r="419" spans="1:28">
      <c r="A419" s="11" t="s">
        <v>17</v>
      </c>
      <c r="B419" s="334">
        <f t="shared" si="110"/>
        <v>3.3750468691413571E-2</v>
      </c>
      <c r="C419" s="334">
        <f t="shared" si="110"/>
        <v>3.3000000000000002E-2</v>
      </c>
      <c r="D419" s="439">
        <f t="shared" si="110"/>
        <v>0.83819999999999995</v>
      </c>
      <c r="E419" s="324">
        <f>(D419+D420)/2</f>
        <v>0.8889999999999999</v>
      </c>
      <c r="F419" s="439">
        <f t="shared" si="116"/>
        <v>0.93979999999999986</v>
      </c>
      <c r="G419" s="324">
        <f t="shared" si="111"/>
        <v>12.847504761904762</v>
      </c>
      <c r="H419" s="439">
        <f t="shared" si="113"/>
        <v>0.20249523809523851</v>
      </c>
      <c r="I419" s="324" t="s">
        <v>292</v>
      </c>
      <c r="J419" s="324">
        <f>H419+D420</f>
        <v>1.1422952380952385</v>
      </c>
      <c r="K419" s="324" t="str">
        <f t="shared" si="114"/>
        <v>yes</v>
      </c>
      <c r="L419" s="594">
        <f t="shared" si="115"/>
        <v>121.54663099544996</v>
      </c>
      <c r="M419" s="578"/>
      <c r="N419" s="578"/>
      <c r="O419" s="375"/>
      <c r="P419" s="324"/>
      <c r="Q419" s="221"/>
      <c r="R419" s="335"/>
      <c r="S419" s="549"/>
      <c r="T419" s="549"/>
      <c r="U419" s="549"/>
      <c r="V419" s="549"/>
      <c r="W419" s="441"/>
      <c r="X419" s="441"/>
      <c r="Y419" s="441"/>
      <c r="Z419" s="441"/>
      <c r="AA419" s="375"/>
      <c r="AB419" s="375"/>
    </row>
    <row r="420" spans="1:28">
      <c r="A420" s="11" t="s">
        <v>19</v>
      </c>
      <c r="B420" s="334">
        <f t="shared" si="110"/>
        <v>3.7962991112597495E-2</v>
      </c>
      <c r="C420" s="334">
        <f t="shared" si="110"/>
        <v>3.6999999999999998E-2</v>
      </c>
      <c r="D420" s="439">
        <f t="shared" si="110"/>
        <v>0.93979999999999986</v>
      </c>
      <c r="E420" s="324">
        <f>(D420+D421)/2</f>
        <v>0.93979999999999986</v>
      </c>
      <c r="F420" s="439">
        <f>D422</f>
        <v>1.1175999999999999</v>
      </c>
      <c r="G420" s="324">
        <f t="shared" si="111"/>
        <v>12.828780180180164</v>
      </c>
      <c r="H420" s="439">
        <f t="shared" si="113"/>
        <v>0.22121981981983652</v>
      </c>
      <c r="I420" s="324" t="s">
        <v>290</v>
      </c>
      <c r="J420" s="324">
        <f>H420+D422</f>
        <v>1.3388198198198364</v>
      </c>
      <c r="K420" s="324" t="str">
        <f t="shared" si="114"/>
        <v>yes</v>
      </c>
      <c r="L420" s="594">
        <f t="shared" si="115"/>
        <v>119.79418573906912</v>
      </c>
      <c r="M420" s="578"/>
      <c r="N420" s="578"/>
      <c r="O420" s="375"/>
      <c r="P420" s="324"/>
      <c r="Q420" s="221"/>
      <c r="R420" s="335"/>
      <c r="S420" s="549"/>
      <c r="T420" s="549"/>
      <c r="U420" s="549"/>
      <c r="V420" s="549"/>
      <c r="W420" s="441"/>
      <c r="X420" s="441"/>
      <c r="Y420" s="441"/>
      <c r="Z420" s="441"/>
      <c r="AA420" s="375"/>
      <c r="AB420" s="375"/>
    </row>
    <row r="421" spans="1:28">
      <c r="A421" s="11" t="s">
        <v>168</v>
      </c>
      <c r="B421" s="334">
        <f t="shared" si="110"/>
        <v>3.8389135181631708E-2</v>
      </c>
      <c r="C421" s="334">
        <f t="shared" si="110"/>
        <v>3.6999999999999998E-2</v>
      </c>
      <c r="D421" s="439">
        <f t="shared" si="110"/>
        <v>0.93979999999999986</v>
      </c>
      <c r="E421" s="324">
        <f>(D421+D423)/2</f>
        <v>1.0286999999999999</v>
      </c>
      <c r="F421" s="439">
        <f t="shared" ref="F421:F424" si="117">D423</f>
        <v>1.1175999999999999</v>
      </c>
      <c r="G421" s="324">
        <f t="shared" si="111"/>
        <v>12.753011764705882</v>
      </c>
      <c r="H421" s="439">
        <f t="shared" si="113"/>
        <v>0.29698823529411911</v>
      </c>
      <c r="I421" s="324" t="s">
        <v>291</v>
      </c>
      <c r="J421" s="324">
        <f>H421+D423</f>
        <v>1.414588235294119</v>
      </c>
      <c r="K421" s="324" t="str">
        <f t="shared" si="114"/>
        <v>yes</v>
      </c>
      <c r="L421" s="594">
        <f t="shared" si="115"/>
        <v>126.57375047370429</v>
      </c>
      <c r="M421" s="578"/>
      <c r="N421" s="578"/>
      <c r="O421" s="375"/>
      <c r="P421" s="324"/>
      <c r="Q421" s="221"/>
      <c r="R421" s="335"/>
      <c r="S421" s="549"/>
      <c r="T421" s="549"/>
      <c r="U421" s="549"/>
      <c r="V421" s="549"/>
      <c r="W421" s="441"/>
      <c r="X421" s="441"/>
      <c r="Y421" s="441"/>
      <c r="Z421" s="441"/>
      <c r="AA421" s="375"/>
      <c r="AB421" s="375"/>
    </row>
    <row r="422" spans="1:28">
      <c r="A422" s="11" t="s">
        <v>21</v>
      </c>
      <c r="B422" s="334">
        <f t="shared" si="110"/>
        <v>4.4992125984251945E-2</v>
      </c>
      <c r="C422" s="334">
        <f t="shared" si="110"/>
        <v>4.3999999999999997E-2</v>
      </c>
      <c r="D422" s="439">
        <f t="shared" si="110"/>
        <v>1.1175999999999999</v>
      </c>
      <c r="E422" s="324">
        <f>(D422+D424)/2</f>
        <v>1.1938</v>
      </c>
      <c r="F422" s="439">
        <f t="shared" si="117"/>
        <v>1.27</v>
      </c>
      <c r="G422" s="324">
        <f t="shared" si="111"/>
        <v>12.848800000000002</v>
      </c>
      <c r="H422" s="439">
        <f t="shared" si="113"/>
        <v>0.20119999999999827</v>
      </c>
      <c r="I422" s="324" t="s">
        <v>293</v>
      </c>
      <c r="J422" s="324">
        <f>H422+D424</f>
        <v>1.4711999999999983</v>
      </c>
      <c r="K422" s="324" t="str">
        <f t="shared" si="114"/>
        <v>yes</v>
      </c>
      <c r="L422" s="594">
        <f t="shared" si="115"/>
        <v>115.84251968503922</v>
      </c>
      <c r="M422" s="578"/>
      <c r="N422" s="578"/>
      <c r="O422" s="375"/>
      <c r="P422" s="324"/>
      <c r="Q422" s="221"/>
      <c r="R422" s="335"/>
      <c r="S422" s="549"/>
      <c r="T422" s="549"/>
      <c r="U422" s="549"/>
      <c r="V422" s="549"/>
      <c r="W422" s="441"/>
      <c r="X422" s="441"/>
      <c r="Y422" s="441"/>
      <c r="Z422" s="441"/>
      <c r="AA422" s="375"/>
      <c r="AB422" s="375"/>
    </row>
    <row r="423" spans="1:28">
      <c r="A423" s="11" t="s">
        <v>243</v>
      </c>
      <c r="B423" s="334">
        <f t="shared" si="110"/>
        <v>4.4890523552976916E-2</v>
      </c>
      <c r="C423" s="334">
        <f t="shared" si="110"/>
        <v>4.3999999999999997E-2</v>
      </c>
      <c r="D423" s="439">
        <f t="shared" si="110"/>
        <v>1.1175999999999999</v>
      </c>
      <c r="E423" s="324">
        <f>(D423+D425)/2</f>
        <v>1.2064999999999999</v>
      </c>
      <c r="F423" s="439">
        <f t="shared" si="117"/>
        <v>1.2953999999999999</v>
      </c>
      <c r="G423" s="324">
        <f t="shared" si="111"/>
        <v>12.864284210526318</v>
      </c>
      <c r="H423" s="439">
        <f t="shared" si="113"/>
        <v>0.18571578947368295</v>
      </c>
      <c r="I423" s="324" t="s">
        <v>294</v>
      </c>
      <c r="J423" s="324">
        <f>H423+D425</f>
        <v>1.4811157894736828</v>
      </c>
      <c r="K423" s="324" t="str">
        <f t="shared" si="114"/>
        <v>yes</v>
      </c>
      <c r="L423" s="594">
        <f t="shared" si="115"/>
        <v>114.33655932327336</v>
      </c>
      <c r="M423" s="578"/>
      <c r="N423" s="578"/>
      <c r="O423" s="375"/>
      <c r="P423" s="324"/>
      <c r="Q423" s="221"/>
      <c r="R423" s="335"/>
      <c r="S423" s="549"/>
      <c r="T423" s="549"/>
      <c r="U423" s="549"/>
      <c r="V423" s="549"/>
      <c r="W423" s="441"/>
      <c r="X423" s="441"/>
      <c r="Y423" s="441"/>
      <c r="Z423" s="441"/>
      <c r="AA423" s="375"/>
      <c r="AB423" s="375"/>
    </row>
    <row r="424" spans="1:28">
      <c r="A424" s="11" t="s">
        <v>22</v>
      </c>
      <c r="B424" s="334">
        <f t="shared" si="110"/>
        <v>5.0390576177977736E-2</v>
      </c>
      <c r="C424" s="334">
        <f t="shared" si="110"/>
        <v>0.05</v>
      </c>
      <c r="D424" s="439">
        <f t="shared" si="110"/>
        <v>1.27</v>
      </c>
      <c r="E424" s="324">
        <f>(D424+D426)/2</f>
        <v>1.4859</v>
      </c>
      <c r="F424" s="439">
        <f t="shared" si="117"/>
        <v>1.7018</v>
      </c>
      <c r="G424" s="324">
        <f t="shared" si="111"/>
        <v>12.950396825396828</v>
      </c>
      <c r="H424" s="439">
        <f t="shared" si="113"/>
        <v>9.9603174603172917E-2</v>
      </c>
      <c r="I424" s="324" t="s">
        <v>295</v>
      </c>
      <c r="J424" s="324">
        <f>H424+D426</f>
        <v>1.8014031746031729</v>
      </c>
      <c r="K424" s="324" t="str">
        <f t="shared" si="114"/>
        <v>yes</v>
      </c>
      <c r="L424" s="594">
        <f t="shared" si="115"/>
        <v>105.8528131744725</v>
      </c>
      <c r="M424" s="578"/>
      <c r="N424" s="578"/>
      <c r="O424" s="375"/>
      <c r="P424" s="324"/>
      <c r="Q424" s="221"/>
      <c r="R424" s="335"/>
      <c r="S424" s="549"/>
      <c r="T424" s="549"/>
      <c r="U424" s="549"/>
      <c r="V424" s="549"/>
      <c r="W424" s="441"/>
      <c r="X424" s="441"/>
      <c r="Y424" s="441"/>
      <c r="Z424" s="441"/>
      <c r="AA424" s="375"/>
      <c r="AB424" s="375"/>
    </row>
    <row r="425" spans="1:28">
      <c r="A425" s="11" t="s">
        <v>244</v>
      </c>
      <c r="B425" s="334">
        <f t="shared" si="110"/>
        <v>5.1884139482564665E-2</v>
      </c>
      <c r="C425" s="334">
        <f t="shared" si="110"/>
        <v>5.0999999999999997E-2</v>
      </c>
      <c r="D425" s="439">
        <f t="shared" si="110"/>
        <v>1.2953999999999999</v>
      </c>
      <c r="E425" s="324">
        <f>(D425+D426)/2</f>
        <v>1.4985999999999999</v>
      </c>
      <c r="F425" s="439">
        <f>D426</f>
        <v>1.7018</v>
      </c>
      <c r="G425" s="324">
        <f t="shared" si="111"/>
        <v>12.887714285714287</v>
      </c>
      <c r="H425" s="439">
        <f t="shared" si="113"/>
        <v>0.16228571428571392</v>
      </c>
      <c r="I425" s="324" t="s">
        <v>295</v>
      </c>
      <c r="J425" s="324">
        <f>H425+D426</f>
        <v>1.8640857142857139</v>
      </c>
      <c r="K425" s="324" t="str">
        <f t="shared" si="114"/>
        <v>yes</v>
      </c>
      <c r="L425" s="594">
        <f t="shared" si="115"/>
        <v>109.53612141765858</v>
      </c>
      <c r="M425" s="578"/>
      <c r="N425" s="578"/>
      <c r="O425" s="375"/>
      <c r="P425" s="324"/>
      <c r="Q425" s="221"/>
      <c r="R425" s="335"/>
      <c r="S425" s="549"/>
      <c r="T425" s="549"/>
      <c r="U425" s="549"/>
      <c r="V425" s="549"/>
      <c r="W425" s="441"/>
      <c r="X425" s="441"/>
      <c r="Y425" s="441"/>
      <c r="Z425" s="441"/>
      <c r="AA425" s="375"/>
      <c r="AB425" s="375"/>
    </row>
    <row r="426" spans="1:28">
      <c r="A426" s="11" t="s">
        <v>24</v>
      </c>
      <c r="B426" s="334">
        <f t="shared" si="110"/>
        <v>6.7240813648293957E-2</v>
      </c>
      <c r="C426" s="334">
        <f t="shared" si="110"/>
        <v>6.7000000000000004E-2</v>
      </c>
      <c r="D426" s="439">
        <f t="shared" si="110"/>
        <v>1.7018</v>
      </c>
      <c r="E426" s="324">
        <f>(D426+D427)/2</f>
        <v>2.0192999999999999</v>
      </c>
      <c r="F426" s="439">
        <f t="shared" ref="F426:F428" si="118">D427</f>
        <v>2.3367999999999998</v>
      </c>
      <c r="G426" s="324">
        <f t="shared" si="111"/>
        <v>12.975533333333335</v>
      </c>
      <c r="H426" s="439">
        <f t="shared" si="113"/>
        <v>7.4466666666666015E-2</v>
      </c>
      <c r="I426" s="324" t="s">
        <v>296</v>
      </c>
      <c r="J426" s="324">
        <f>H426+D427</f>
        <v>2.4112666666666658</v>
      </c>
      <c r="K426" s="324" t="str">
        <f t="shared" si="114"/>
        <v>yes</v>
      </c>
      <c r="L426" s="594">
        <f t="shared" si="115"/>
        <v>103.1866940545475</v>
      </c>
      <c r="M426" s="578"/>
      <c r="N426" s="578"/>
      <c r="O426" s="375"/>
      <c r="P426" s="324"/>
      <c r="Q426" s="221"/>
      <c r="R426" s="335"/>
      <c r="S426" s="549"/>
      <c r="T426" s="549"/>
      <c r="U426" s="549"/>
      <c r="V426" s="549"/>
      <c r="W426" s="441"/>
      <c r="X426" s="441"/>
      <c r="Y426" s="441"/>
      <c r="Z426" s="441"/>
      <c r="AA426" s="375"/>
      <c r="AB426" s="375"/>
    </row>
    <row r="427" spans="1:28">
      <c r="A427" s="11" t="s">
        <v>26</v>
      </c>
      <c r="B427" s="334">
        <f t="shared" si="110"/>
        <v>9.2331036745406853E-2</v>
      </c>
      <c r="C427" s="334">
        <f t="shared" si="110"/>
        <v>9.1999999999999998E-2</v>
      </c>
      <c r="D427" s="439">
        <f t="shared" si="110"/>
        <v>2.3367999999999998</v>
      </c>
      <c r="E427" s="324">
        <f>(D427+D428)/2</f>
        <v>2.7050999999999998</v>
      </c>
      <c r="F427" s="439">
        <f t="shared" si="118"/>
        <v>3.0733999999999999</v>
      </c>
      <c r="G427" s="324">
        <f t="shared" si="111"/>
        <v>12.974774999999996</v>
      </c>
      <c r="H427" s="439">
        <f t="shared" si="113"/>
        <v>7.5225000000004982E-2</v>
      </c>
      <c r="I427" s="324" t="s">
        <v>297</v>
      </c>
      <c r="J427" s="324">
        <f>H427+D428</f>
        <v>3.1486250000000049</v>
      </c>
      <c r="K427" s="324" t="str">
        <f t="shared" si="114"/>
        <v>yes</v>
      </c>
      <c r="L427" s="594">
        <f t="shared" si="115"/>
        <v>102.44761501919714</v>
      </c>
      <c r="M427" s="578"/>
      <c r="N427" s="578"/>
      <c r="O427" s="375"/>
      <c r="P427" s="324"/>
      <c r="Q427" s="221"/>
      <c r="R427" s="335"/>
      <c r="S427" s="549"/>
      <c r="T427" s="549"/>
      <c r="U427" s="549"/>
      <c r="V427" s="549"/>
      <c r="W427" s="441"/>
      <c r="X427" s="441"/>
      <c r="Y427" s="441"/>
      <c r="Z427" s="441"/>
      <c r="AA427" s="375"/>
      <c r="AB427" s="375"/>
    </row>
    <row r="428" spans="1:28">
      <c r="A428" s="11" t="s">
        <v>239</v>
      </c>
      <c r="B428" s="334">
        <f t="shared" si="110"/>
        <v>0.12110474827010266</v>
      </c>
      <c r="C428" s="334">
        <f t="shared" si="110"/>
        <v>0.121</v>
      </c>
      <c r="D428" s="439">
        <f t="shared" si="110"/>
        <v>3.0733999999999999</v>
      </c>
      <c r="E428" s="324">
        <f>(D428+D429)/2</f>
        <v>4.7116999999999996</v>
      </c>
      <c r="F428" s="439">
        <f t="shared" si="118"/>
        <v>6.35</v>
      </c>
      <c r="G428" s="324">
        <f t="shared" si="111"/>
        <v>12.994678787878785</v>
      </c>
      <c r="H428" s="439">
        <f t="shared" si="113"/>
        <v>5.5321212121215879E-2</v>
      </c>
      <c r="I428" s="324" t="s">
        <v>298</v>
      </c>
      <c r="J428" s="324">
        <f>H428+D429</f>
        <v>6.4053212121212155</v>
      </c>
      <c r="K428" s="324" t="str">
        <f t="shared" si="114"/>
        <v>yes</v>
      </c>
      <c r="L428" s="594">
        <f t="shared" si="115"/>
        <v>100.87120019088529</v>
      </c>
      <c r="M428" s="578"/>
      <c r="N428" s="578"/>
      <c r="O428" s="375"/>
      <c r="P428" s="324"/>
      <c r="Q428" s="221"/>
      <c r="R428" s="335"/>
      <c r="S428" s="549"/>
      <c r="T428" s="549"/>
      <c r="U428" s="549"/>
      <c r="V428" s="549"/>
      <c r="W428" s="441"/>
      <c r="X428" s="441"/>
      <c r="Y428" s="441"/>
      <c r="Z428" s="441"/>
      <c r="AA428" s="375"/>
      <c r="AB428" s="375"/>
    </row>
    <row r="429" spans="1:28">
      <c r="A429" s="11" t="s">
        <v>89</v>
      </c>
      <c r="B429" s="334">
        <f t="shared" si="110"/>
        <v>0.25018372703412078</v>
      </c>
      <c r="C429" s="334">
        <f t="shared" si="110"/>
        <v>0.25</v>
      </c>
      <c r="D429" s="439">
        <f t="shared" si="110"/>
        <v>6.35</v>
      </c>
      <c r="E429" s="324">
        <f>(D429+D411)/2</f>
        <v>3.4670999999999998</v>
      </c>
      <c r="F429" s="439">
        <f>E429</f>
        <v>3.4670999999999998</v>
      </c>
      <c r="G429" s="324">
        <f t="shared" si="111"/>
        <v>12.995333333333331</v>
      </c>
      <c r="H429" s="439">
        <f t="shared" si="113"/>
        <v>5.4666666666669528E-2</v>
      </c>
      <c r="I429" s="324" t="s">
        <v>299</v>
      </c>
      <c r="J429" s="324">
        <f>H429+D411</f>
        <v>0.63886666666666947</v>
      </c>
      <c r="K429" s="324" t="str">
        <f t="shared" si="114"/>
        <v>no</v>
      </c>
      <c r="L429" s="594">
        <f t="shared" si="115"/>
        <v>18.426542835991736</v>
      </c>
      <c r="M429" s="578"/>
      <c r="N429" s="578"/>
      <c r="O429" s="375"/>
      <c r="P429" s="324"/>
      <c r="Q429" s="221"/>
      <c r="R429" s="335"/>
      <c r="S429" s="549"/>
      <c r="T429" s="549"/>
      <c r="U429" s="549"/>
      <c r="V429" s="549"/>
      <c r="W429" s="441"/>
      <c r="X429" s="441"/>
      <c r="Y429" s="441"/>
      <c r="Z429" s="441"/>
      <c r="AA429" s="375"/>
      <c r="AB429" s="375"/>
    </row>
    <row r="430" spans="1:28">
      <c r="A430" s="32" t="s">
        <v>245</v>
      </c>
      <c r="B430" s="368">
        <f t="shared" si="110"/>
        <v>0.24793307086614172</v>
      </c>
      <c r="C430" s="368">
        <f t="shared" si="110"/>
        <v>0.248</v>
      </c>
      <c r="D430" s="440">
        <f t="shared" si="110"/>
        <v>6.2991999999999999</v>
      </c>
      <c r="E430" s="368">
        <f>(D430+D412)/2</f>
        <v>3.4417</v>
      </c>
      <c r="F430" s="440">
        <f>E430</f>
        <v>3.4417</v>
      </c>
      <c r="G430" s="368">
        <f t="shared" si="111"/>
        <v>13.0017</v>
      </c>
      <c r="H430" s="440">
        <f t="shared" si="113"/>
        <v>4.830000000000112E-2</v>
      </c>
      <c r="I430" s="368" t="s">
        <v>300</v>
      </c>
      <c r="J430" s="368">
        <f>H430+D412</f>
        <v>0.63250000000000106</v>
      </c>
      <c r="K430" s="368" t="str">
        <f t="shared" si="114"/>
        <v>no</v>
      </c>
      <c r="L430" s="594">
        <f t="shared" si="115"/>
        <v>18.377545980184244</v>
      </c>
      <c r="M430" s="578"/>
      <c r="N430" s="578"/>
      <c r="O430" s="375"/>
      <c r="P430" s="324"/>
      <c r="Q430" s="221"/>
      <c r="R430" s="335"/>
      <c r="S430" s="549"/>
      <c r="T430" s="549"/>
      <c r="U430" s="549"/>
      <c r="V430" s="549"/>
      <c r="W430" s="441"/>
      <c r="X430" s="441"/>
      <c r="Y430" s="441"/>
      <c r="Z430" s="441"/>
      <c r="AA430" s="375"/>
      <c r="AB430" s="375"/>
    </row>
    <row r="431" spans="1:28">
      <c r="M431" s="578"/>
      <c r="N431" s="578"/>
      <c r="O431" s="375"/>
      <c r="P431" s="324"/>
      <c r="Q431" s="221"/>
      <c r="R431" s="335"/>
      <c r="S431" s="549"/>
      <c r="T431" s="549"/>
      <c r="U431" s="549"/>
      <c r="V431" s="549"/>
      <c r="W431" s="441"/>
      <c r="X431" s="441"/>
      <c r="Y431" s="441"/>
      <c r="Z431" s="441"/>
      <c r="AA431" s="375"/>
      <c r="AB431" s="375"/>
    </row>
    <row r="432" spans="1:28">
      <c r="M432" s="578"/>
      <c r="N432" s="578"/>
      <c r="O432" s="375"/>
      <c r="P432" s="324"/>
      <c r="Q432" s="221"/>
      <c r="R432" s="335"/>
      <c r="S432" s="549"/>
      <c r="T432" s="549"/>
      <c r="U432" s="549"/>
      <c r="V432" s="549"/>
      <c r="W432" s="441"/>
      <c r="X432" s="441"/>
      <c r="Y432" s="441"/>
      <c r="Z432" s="441"/>
      <c r="AA432" s="375"/>
      <c r="AB432" s="375"/>
    </row>
    <row r="433" spans="1:29">
      <c r="M433" s="578"/>
      <c r="N433" s="578"/>
      <c r="O433" s="375"/>
      <c r="P433" s="324"/>
      <c r="Q433" s="221"/>
      <c r="R433" s="335"/>
      <c r="S433" s="549"/>
      <c r="T433" s="549"/>
      <c r="U433" s="549"/>
      <c r="V433" s="549"/>
      <c r="W433" s="441"/>
      <c r="X433" s="441"/>
      <c r="Y433" s="441"/>
      <c r="Z433" s="441"/>
      <c r="AA433" s="375"/>
      <c r="AB433" s="375"/>
    </row>
    <row r="434" spans="1:29">
      <c r="M434" s="578"/>
      <c r="N434" s="578"/>
      <c r="O434" s="375"/>
      <c r="P434" s="324"/>
      <c r="Q434" s="221"/>
      <c r="R434" s="335"/>
      <c r="S434" s="549"/>
      <c r="T434" s="549"/>
      <c r="U434" s="549"/>
      <c r="V434" s="549"/>
      <c r="W434" s="441"/>
      <c r="X434" s="441"/>
      <c r="Y434" s="441"/>
      <c r="Z434" s="441"/>
      <c r="AA434" s="375"/>
      <c r="AB434" s="375"/>
    </row>
    <row r="435" spans="1:29">
      <c r="A435" s="11"/>
      <c r="B435" s="324"/>
      <c r="C435" s="436"/>
      <c r="D435" s="375"/>
      <c r="E435" s="324"/>
      <c r="F435" s="324"/>
      <c r="G435" s="324"/>
      <c r="H435" s="324"/>
      <c r="I435" s="578"/>
      <c r="J435" s="578"/>
      <c r="K435" s="578"/>
      <c r="L435" s="578"/>
      <c r="M435" s="578"/>
      <c r="N435" s="578"/>
      <c r="O435" s="375"/>
      <c r="P435" s="324"/>
      <c r="Q435" s="221"/>
      <c r="R435" s="335"/>
      <c r="S435" s="549"/>
      <c r="T435" s="549"/>
      <c r="U435" s="549"/>
      <c r="V435" s="549"/>
      <c r="W435" s="441"/>
      <c r="X435" s="441"/>
      <c r="Y435" s="441"/>
      <c r="Z435" s="441"/>
      <c r="AA435" s="375"/>
      <c r="AB435" s="375"/>
    </row>
    <row r="436" spans="1:29" ht="26.25">
      <c r="A436" s="596"/>
      <c r="B436" s="597"/>
      <c r="C436" s="598"/>
      <c r="D436" s="599"/>
      <c r="E436" s="597"/>
      <c r="F436" s="597"/>
      <c r="G436" s="597"/>
      <c r="H436" s="597"/>
      <c r="I436" s="578"/>
      <c r="J436" s="578"/>
      <c r="K436" s="578"/>
      <c r="L436" s="578"/>
      <c r="M436" s="578"/>
      <c r="N436" s="578"/>
      <c r="O436" s="375"/>
      <c r="P436" s="324"/>
      <c r="Q436" s="221"/>
      <c r="R436" s="335"/>
      <c r="S436" s="549"/>
      <c r="T436" s="549"/>
      <c r="U436" s="549"/>
      <c r="V436" s="549"/>
      <c r="W436" s="441"/>
      <c r="X436" s="441"/>
      <c r="Y436" s="441"/>
      <c r="Z436" s="441"/>
      <c r="AA436" s="375"/>
      <c r="AB436" s="375"/>
    </row>
    <row r="437" spans="1:29">
      <c r="A437" s="11"/>
      <c r="B437" s="324"/>
      <c r="C437" s="436"/>
      <c r="D437" s="375"/>
      <c r="E437" s="324"/>
      <c r="F437" s="324"/>
      <c r="G437" s="324"/>
      <c r="H437" s="324"/>
      <c r="I437" s="578"/>
      <c r="J437" s="578"/>
      <c r="K437" s="578"/>
      <c r="L437" s="578"/>
      <c r="M437" s="578"/>
      <c r="N437" s="578"/>
      <c r="O437" s="375"/>
      <c r="P437" s="324"/>
      <c r="Q437" s="221"/>
      <c r="R437" s="335"/>
      <c r="S437" s="549"/>
      <c r="T437" s="549"/>
      <c r="U437" s="549"/>
      <c r="V437" s="549"/>
      <c r="W437" s="441"/>
      <c r="X437" s="441"/>
      <c r="Y437" s="441"/>
      <c r="Z437" s="441"/>
      <c r="AA437" s="375"/>
      <c r="AB437" s="375"/>
    </row>
    <row r="438" spans="1:29">
      <c r="A438" s="11"/>
      <c r="B438" s="324"/>
      <c r="C438" s="436"/>
      <c r="D438" s="375"/>
      <c r="E438" s="324"/>
      <c r="F438" s="324"/>
      <c r="G438" s="324"/>
      <c r="H438" s="324"/>
      <c r="I438" s="578"/>
      <c r="J438" s="578"/>
      <c r="K438" s="578"/>
      <c r="L438" s="578"/>
      <c r="M438" s="578"/>
      <c r="N438" s="578"/>
      <c r="O438" s="375"/>
      <c r="P438" s="324"/>
      <c r="Q438" s="221"/>
      <c r="R438" s="335"/>
      <c r="S438" s="549"/>
      <c r="T438" s="549"/>
      <c r="U438" s="549"/>
      <c r="V438" s="549"/>
      <c r="W438" s="441"/>
      <c r="X438" s="441"/>
      <c r="Y438" s="441"/>
      <c r="Z438" s="441"/>
      <c r="AA438" s="375"/>
      <c r="AB438" s="375"/>
    </row>
    <row r="439" spans="1:29" ht="26.25">
      <c r="A439" s="427" t="s">
        <v>479</v>
      </c>
      <c r="B439" s="427"/>
      <c r="C439" s="427"/>
      <c r="D439" s="427"/>
      <c r="E439" s="388"/>
      <c r="F439" s="388"/>
      <c r="G439" s="541" t="s">
        <v>411</v>
      </c>
      <c r="H439" s="388"/>
      <c r="I439" s="578"/>
      <c r="J439" s="578"/>
      <c r="K439" s="578"/>
      <c r="L439" s="578"/>
      <c r="M439" s="578"/>
      <c r="N439" s="578"/>
      <c r="O439" s="578"/>
      <c r="P439" s="375"/>
      <c r="Q439" s="324"/>
      <c r="R439" s="221"/>
      <c r="S439" s="335"/>
      <c r="T439" s="549"/>
      <c r="U439" s="549"/>
      <c r="V439" s="549"/>
      <c r="W439" s="549"/>
      <c r="X439" s="441"/>
      <c r="Y439" s="441"/>
      <c r="Z439" s="441"/>
      <c r="AA439" s="441"/>
      <c r="AB439" s="375"/>
      <c r="AC439" s="375"/>
    </row>
    <row r="440" spans="1:29" ht="21">
      <c r="A440" s="778" t="s">
        <v>340</v>
      </c>
      <c r="B440" s="778"/>
      <c r="E440" s="529" t="s">
        <v>408</v>
      </c>
      <c r="G440" s="529" t="s">
        <v>422</v>
      </c>
      <c r="H440" s="540"/>
      <c r="I440" s="583" t="s">
        <v>462</v>
      </c>
      <c r="J440" s="15"/>
      <c r="K440" s="15"/>
      <c r="L440" s="578"/>
      <c r="M440" s="578"/>
      <c r="N440" s="578"/>
      <c r="O440" s="375"/>
      <c r="P440" s="324"/>
      <c r="Q440" s="221"/>
      <c r="R440" s="335"/>
      <c r="S440" s="549"/>
      <c r="T440" s="549"/>
      <c r="U440" s="549"/>
      <c r="V440" s="549"/>
      <c r="W440" s="441"/>
      <c r="X440" s="441"/>
      <c r="Y440" s="441"/>
      <c r="Z440" s="441"/>
      <c r="AA440" s="375"/>
      <c r="AB440" s="375"/>
    </row>
    <row r="441" spans="1:29">
      <c r="A441" s="11" t="s">
        <v>246</v>
      </c>
      <c r="B441" s="574" t="s">
        <v>256</v>
      </c>
      <c r="C441" s="436" t="s">
        <v>337</v>
      </c>
      <c r="D441" s="379"/>
      <c r="E441" s="335" t="s">
        <v>342</v>
      </c>
      <c r="F441" s="335"/>
      <c r="G441" s="528" t="s">
        <v>410</v>
      </c>
      <c r="H441" s="335" t="s">
        <v>411</v>
      </c>
      <c r="I441" s="528" t="s">
        <v>460</v>
      </c>
      <c r="J441" s="335" t="str">
        <f>I381</f>
        <v>Sum of pitches</v>
      </c>
      <c r="K441" s="335" t="str">
        <f>J381</f>
        <v>Pitches</v>
      </c>
      <c r="L441" s="578"/>
      <c r="M441" s="578"/>
      <c r="N441" s="578"/>
      <c r="O441" s="375"/>
      <c r="P441" s="324"/>
      <c r="Q441" s="221"/>
      <c r="R441" s="335"/>
      <c r="S441" s="549"/>
      <c r="T441" s="549"/>
      <c r="U441" s="549"/>
      <c r="V441" s="549"/>
      <c r="W441" s="441"/>
      <c r="X441" s="441"/>
      <c r="Y441" s="441"/>
      <c r="Z441" s="441"/>
      <c r="AA441" s="375"/>
      <c r="AB441" s="375"/>
    </row>
    <row r="442" spans="1:29">
      <c r="A442" s="32"/>
      <c r="B442" s="342" t="s">
        <v>112</v>
      </c>
      <c r="C442" s="437" t="s">
        <v>112</v>
      </c>
      <c r="D442" s="393" t="s">
        <v>113</v>
      </c>
      <c r="E442" s="342" t="s">
        <v>112</v>
      </c>
      <c r="F442" s="342" t="s">
        <v>113</v>
      </c>
      <c r="G442" s="357" t="s">
        <v>113</v>
      </c>
      <c r="H442" s="342" t="s">
        <v>409</v>
      </c>
      <c r="I442" s="580" t="s">
        <v>461</v>
      </c>
      <c r="J442" s="395" t="str">
        <f>I382</f>
        <v>mm</v>
      </c>
      <c r="K442" s="395" t="str">
        <f>J382</f>
        <v>too big?</v>
      </c>
      <c r="L442" s="578"/>
      <c r="M442" s="578"/>
      <c r="N442" s="578"/>
      <c r="O442" s="375"/>
      <c r="P442" s="324"/>
      <c r="Q442" s="221"/>
      <c r="R442" s="335"/>
      <c r="S442" s="549"/>
      <c r="T442" s="549"/>
      <c r="U442" s="549"/>
      <c r="V442" s="549"/>
      <c r="W442" s="441"/>
      <c r="X442" s="441"/>
      <c r="Y442" s="441"/>
      <c r="Z442" s="441"/>
      <c r="AA442" s="375"/>
      <c r="AB442" s="375"/>
    </row>
    <row r="443" spans="1:29">
      <c r="B443" s="574"/>
      <c r="C443" s="436"/>
      <c r="D443" s="379"/>
      <c r="E443" s="574"/>
      <c r="F443" s="574"/>
      <c r="G443" s="576"/>
      <c r="H443" s="577"/>
      <c r="I443" s="528"/>
      <c r="J443" s="335"/>
      <c r="K443" s="335"/>
      <c r="L443" s="578"/>
      <c r="M443" s="578"/>
      <c r="N443" s="578"/>
      <c r="O443" s="375"/>
      <c r="P443" s="324"/>
      <c r="Q443" s="221"/>
      <c r="R443" s="335"/>
      <c r="S443" s="549"/>
      <c r="T443" s="549"/>
      <c r="U443" s="549"/>
      <c r="V443" s="549"/>
      <c r="W443" s="441"/>
      <c r="X443" s="441"/>
      <c r="Y443" s="441"/>
      <c r="Z443" s="441"/>
      <c r="AA443" s="375"/>
      <c r="AB443" s="375"/>
    </row>
    <row r="444" spans="1:29">
      <c r="A444" s="66" t="s">
        <v>6</v>
      </c>
      <c r="B444" s="334">
        <f t="shared" ref="B444:B463" si="119">N43</f>
        <v>2.4251968503937012E-2</v>
      </c>
      <c r="C444" s="436">
        <v>2.3E-2</v>
      </c>
      <c r="D444" s="376">
        <f>C444*25.4</f>
        <v>0.58419999999999994</v>
      </c>
      <c r="E444" s="334">
        <f t="shared" ref="E444:E463" si="120">C444+$B$369</f>
        <v>2.4E-2</v>
      </c>
      <c r="F444" s="334">
        <f>E444*25.4</f>
        <v>0.60960000000000003</v>
      </c>
      <c r="G444" s="531">
        <f t="shared" ref="G444:G463" si="121">(F444+J43)*B43</f>
        <v>12.916799999999999</v>
      </c>
      <c r="H444" s="324" t="str">
        <f t="shared" ref="H444:H463" si="122">IF(G444&gt;$B$372, "yes", "no")</f>
        <v>no</v>
      </c>
      <c r="I444" s="588" t="s">
        <v>6</v>
      </c>
      <c r="J444" s="578">
        <f>F384*(B43-1)+J43*B43+F384</f>
        <v>12.916799999999999</v>
      </c>
      <c r="K444" s="578" t="str">
        <f>IF(J444&gt;$B$372, "yes", "no")</f>
        <v>no</v>
      </c>
      <c r="L444" s="578"/>
      <c r="M444" s="578"/>
      <c r="N444" s="578"/>
      <c r="O444" s="375"/>
      <c r="P444" s="324"/>
      <c r="Q444" s="221"/>
      <c r="R444" s="335"/>
      <c r="S444" s="549"/>
      <c r="T444" s="549"/>
      <c r="U444" s="549"/>
      <c r="V444" s="549"/>
      <c r="W444" s="441"/>
      <c r="X444" s="441"/>
      <c r="Y444" s="441"/>
      <c r="Z444" s="441"/>
      <c r="AA444" s="375"/>
      <c r="AB444" s="375"/>
    </row>
    <row r="445" spans="1:29">
      <c r="A445" s="66" t="s">
        <v>164</v>
      </c>
      <c r="B445" s="334">
        <f t="shared" si="119"/>
        <v>2.4219386369807222E-2</v>
      </c>
      <c r="C445" s="436">
        <v>2.3E-2</v>
      </c>
      <c r="D445" s="376">
        <f t="shared" ref="D445:D463" si="123">C445*25.4</f>
        <v>0.58419999999999994</v>
      </c>
      <c r="E445" s="334">
        <f t="shared" si="120"/>
        <v>2.4E-2</v>
      </c>
      <c r="F445" s="334">
        <f t="shared" ref="F445:F463" si="124">E445*25.4</f>
        <v>0.60960000000000003</v>
      </c>
      <c r="G445" s="531">
        <f t="shared" si="121"/>
        <v>12.927558620689656</v>
      </c>
      <c r="H445" s="324" t="str">
        <f t="shared" si="122"/>
        <v>no</v>
      </c>
      <c r="I445" s="588" t="s">
        <v>164</v>
      </c>
      <c r="J445" s="578">
        <f>F385*(B44-1)+J44*B44+F385</f>
        <v>12.927558620689657</v>
      </c>
      <c r="K445" s="578" t="str">
        <f t="shared" ref="K445:K463" si="125">IF(J445&gt;$B$372, "yes", "no")</f>
        <v>no</v>
      </c>
      <c r="L445" s="578"/>
      <c r="M445" s="578"/>
      <c r="N445" s="578"/>
      <c r="O445" s="375"/>
      <c r="P445" s="324"/>
      <c r="Q445" s="221"/>
      <c r="R445" s="335"/>
      <c r="S445" s="549"/>
      <c r="T445" s="549"/>
      <c r="U445" s="549"/>
      <c r="V445" s="549"/>
      <c r="W445" s="441"/>
      <c r="X445" s="441"/>
      <c r="Y445" s="441"/>
      <c r="Z445" s="441"/>
      <c r="AA445" s="375"/>
      <c r="AB445" s="375"/>
    </row>
    <row r="446" spans="1:29">
      <c r="A446" s="66" t="s">
        <v>9</v>
      </c>
      <c r="B446" s="334">
        <f t="shared" si="119"/>
        <v>2.2947983774755456E-2</v>
      </c>
      <c r="C446" s="436">
        <v>2.3E-2</v>
      </c>
      <c r="D446" s="376">
        <f t="shared" si="123"/>
        <v>0.58419999999999994</v>
      </c>
      <c r="E446" s="334">
        <f t="shared" si="120"/>
        <v>2.4E-2</v>
      </c>
      <c r="F446" s="334">
        <f t="shared" si="124"/>
        <v>0.60960000000000003</v>
      </c>
      <c r="G446" s="531">
        <f t="shared" si="121"/>
        <v>13.320654545454538</v>
      </c>
      <c r="H446" s="324" t="str">
        <f t="shared" si="122"/>
        <v>yes</v>
      </c>
      <c r="I446" s="588" t="s">
        <v>6</v>
      </c>
      <c r="J446" s="578">
        <f>G446-D446+D444</f>
        <v>13.320654545454538</v>
      </c>
      <c r="K446" s="578" t="str">
        <f t="shared" si="125"/>
        <v>yes</v>
      </c>
      <c r="L446" s="578"/>
      <c r="M446" s="578"/>
      <c r="N446" s="578"/>
      <c r="O446" s="375"/>
      <c r="P446" s="324"/>
      <c r="Q446" s="221"/>
      <c r="R446" s="335"/>
      <c r="S446" s="549"/>
      <c r="T446" s="549"/>
      <c r="U446" s="549"/>
      <c r="V446" s="549"/>
      <c r="W446" s="441"/>
      <c r="X446" s="441"/>
      <c r="Y446" s="441"/>
      <c r="Z446" s="441"/>
      <c r="AA446" s="375"/>
      <c r="AB446" s="375"/>
    </row>
    <row r="447" spans="1:29">
      <c r="A447" s="66" t="s">
        <v>165</v>
      </c>
      <c r="B447" s="334">
        <f t="shared" si="119"/>
        <v>2.2399801376179307E-2</v>
      </c>
      <c r="C447" s="436">
        <v>2.1999999999999999E-2</v>
      </c>
      <c r="D447" s="376">
        <f t="shared" si="123"/>
        <v>0.55879999999999996</v>
      </c>
      <c r="E447" s="334">
        <f t="shared" si="120"/>
        <v>2.3E-2</v>
      </c>
      <c r="F447" s="334">
        <f t="shared" si="124"/>
        <v>0.58419999999999994</v>
      </c>
      <c r="G447" s="531">
        <f t="shared" si="121"/>
        <v>13.182940540540544</v>
      </c>
      <c r="H447" s="324" t="str">
        <f t="shared" si="122"/>
        <v>yes</v>
      </c>
      <c r="I447" s="588" t="s">
        <v>164</v>
      </c>
      <c r="J447" s="578">
        <f t="shared" ref="J447:J450" si="126">G447-D447+D445</f>
        <v>13.208340540540544</v>
      </c>
      <c r="K447" s="578" t="str">
        <f t="shared" si="125"/>
        <v>yes</v>
      </c>
      <c r="L447" s="578"/>
      <c r="M447" s="578"/>
      <c r="N447" s="578"/>
      <c r="O447" s="375"/>
      <c r="P447" s="324"/>
      <c r="Q447" s="221"/>
      <c r="R447" s="335"/>
      <c r="S447" s="549"/>
      <c r="T447" s="549"/>
      <c r="U447" s="549"/>
      <c r="V447" s="549"/>
      <c r="W447" s="441"/>
      <c r="X447" s="441"/>
      <c r="Y447" s="441"/>
      <c r="Z447" s="441"/>
      <c r="AA447" s="375"/>
      <c r="AB447" s="375"/>
    </row>
    <row r="448" spans="1:29">
      <c r="A448" s="66" t="s">
        <v>11</v>
      </c>
      <c r="B448" s="334">
        <f t="shared" si="119"/>
        <v>2.6825340014316426E-2</v>
      </c>
      <c r="C448" s="436">
        <v>2.7E-2</v>
      </c>
      <c r="D448" s="376">
        <f t="shared" si="123"/>
        <v>0.68579999999999997</v>
      </c>
      <c r="E448" s="334">
        <f t="shared" si="120"/>
        <v>2.8000000000000001E-2</v>
      </c>
      <c r="F448" s="334">
        <f t="shared" si="124"/>
        <v>0.71119999999999994</v>
      </c>
      <c r="G448" s="531">
        <f t="shared" si="121"/>
        <v>13.328199999999992</v>
      </c>
      <c r="H448" s="324" t="str">
        <f t="shared" si="122"/>
        <v>yes</v>
      </c>
      <c r="I448" s="588" t="s">
        <v>9</v>
      </c>
      <c r="J448" s="578">
        <f t="shared" si="126"/>
        <v>13.226599999999991</v>
      </c>
      <c r="K448" s="578" t="str">
        <f t="shared" si="125"/>
        <v>yes</v>
      </c>
      <c r="L448" s="578"/>
      <c r="M448" s="578"/>
      <c r="N448" s="578"/>
      <c r="O448" s="375"/>
      <c r="P448" s="324"/>
      <c r="Q448" s="221"/>
      <c r="R448" s="335"/>
      <c r="S448" s="549"/>
      <c r="T448" s="549"/>
      <c r="U448" s="549"/>
      <c r="V448" s="549"/>
      <c r="W448" s="441"/>
      <c r="X448" s="441"/>
      <c r="Y448" s="441"/>
      <c r="Z448" s="441"/>
      <c r="AA448" s="375"/>
      <c r="AB448" s="375"/>
    </row>
    <row r="449" spans="1:28">
      <c r="A449" s="66" t="s">
        <v>226</v>
      </c>
      <c r="B449" s="334">
        <f t="shared" si="119"/>
        <v>2.6277157615740277E-2</v>
      </c>
      <c r="C449" s="436">
        <v>2.5999999999999999E-2</v>
      </c>
      <c r="D449" s="376">
        <f t="shared" si="123"/>
        <v>0.66039999999999999</v>
      </c>
      <c r="E449" s="334">
        <f t="shared" si="120"/>
        <v>2.7E-2</v>
      </c>
      <c r="F449" s="334">
        <f t="shared" si="124"/>
        <v>0.68579999999999997</v>
      </c>
      <c r="G449" s="531">
        <f t="shared" si="121"/>
        <v>13.201962162162166</v>
      </c>
      <c r="H449" s="324" t="str">
        <f t="shared" si="122"/>
        <v>yes</v>
      </c>
      <c r="I449" s="588" t="s">
        <v>165</v>
      </c>
      <c r="J449" s="578">
        <f t="shared" si="126"/>
        <v>13.100362162162167</v>
      </c>
      <c r="K449" s="578" t="str">
        <f t="shared" si="125"/>
        <v>yes</v>
      </c>
      <c r="L449" s="578"/>
      <c r="M449" s="578"/>
      <c r="N449" s="578"/>
      <c r="O449" s="375"/>
      <c r="P449" s="324"/>
      <c r="Q449" s="221"/>
      <c r="R449" s="335"/>
      <c r="S449" s="549"/>
      <c r="T449" s="549"/>
      <c r="U449" s="549"/>
      <c r="V449" s="549"/>
      <c r="W449" s="441"/>
      <c r="X449" s="441"/>
      <c r="Y449" s="441"/>
      <c r="Z449" s="441"/>
      <c r="AA449" s="375"/>
      <c r="AB449" s="375"/>
    </row>
    <row r="450" spans="1:28">
      <c r="A450" s="11" t="s">
        <v>13</v>
      </c>
      <c r="B450" s="334">
        <f t="shared" si="119"/>
        <v>3.1478167501789583E-2</v>
      </c>
      <c r="C450" s="436">
        <v>3.1E-2</v>
      </c>
      <c r="D450" s="376">
        <f t="shared" si="123"/>
        <v>0.78739999999999999</v>
      </c>
      <c r="E450" s="334">
        <f t="shared" si="120"/>
        <v>3.2000000000000001E-2</v>
      </c>
      <c r="F450" s="334">
        <f t="shared" si="124"/>
        <v>0.81279999999999997</v>
      </c>
      <c r="G450" s="531">
        <f t="shared" si="121"/>
        <v>13.132545454545447</v>
      </c>
      <c r="H450" s="324" t="str">
        <f t="shared" si="122"/>
        <v>yes</v>
      </c>
      <c r="I450" s="588" t="s">
        <v>11</v>
      </c>
      <c r="J450" s="578">
        <f t="shared" si="126"/>
        <v>13.030945454545448</v>
      </c>
      <c r="K450" s="578" t="str">
        <f t="shared" si="125"/>
        <v>no</v>
      </c>
      <c r="L450" s="578"/>
      <c r="M450" s="578"/>
      <c r="N450" s="578"/>
      <c r="O450" s="375"/>
      <c r="P450" s="324"/>
      <c r="Q450" s="221"/>
      <c r="R450" s="335"/>
      <c r="S450" s="549"/>
      <c r="T450" s="549"/>
      <c r="U450" s="549"/>
      <c r="V450" s="549"/>
      <c r="W450" s="441"/>
      <c r="X450" s="441"/>
      <c r="Y450" s="441"/>
      <c r="Z450" s="441"/>
      <c r="AA450" s="375"/>
      <c r="AB450" s="375"/>
    </row>
    <row r="451" spans="1:28">
      <c r="A451" s="11" t="s">
        <v>15</v>
      </c>
      <c r="B451" s="334">
        <f t="shared" si="119"/>
        <v>3.2027559055118122E-2</v>
      </c>
      <c r="C451" s="436">
        <v>3.2000000000000001E-2</v>
      </c>
      <c r="D451" s="376">
        <f t="shared" si="123"/>
        <v>0.81279999999999997</v>
      </c>
      <c r="E451" s="334">
        <f t="shared" si="120"/>
        <v>3.3000000000000002E-2</v>
      </c>
      <c r="F451" s="334">
        <f t="shared" si="124"/>
        <v>0.83819999999999995</v>
      </c>
      <c r="G451" s="531">
        <f t="shared" si="121"/>
        <v>13.222299999999997</v>
      </c>
      <c r="H451" s="324" t="str">
        <f t="shared" si="122"/>
        <v>yes</v>
      </c>
      <c r="I451" s="588" t="s">
        <v>13</v>
      </c>
      <c r="J451" s="578">
        <f>G451-D451+D450</f>
        <v>13.196899999999998</v>
      </c>
      <c r="K451" s="578" t="str">
        <f t="shared" si="125"/>
        <v>yes</v>
      </c>
      <c r="L451" s="578"/>
      <c r="M451" s="578"/>
      <c r="N451" s="578"/>
      <c r="O451" s="375"/>
      <c r="P451" s="324"/>
      <c r="Q451" s="221"/>
      <c r="R451" s="335"/>
      <c r="S451" s="549"/>
      <c r="T451" s="549"/>
      <c r="U451" s="549"/>
      <c r="V451" s="549"/>
      <c r="W451" s="441"/>
      <c r="X451" s="441"/>
      <c r="Y451" s="441"/>
      <c r="Z451" s="441"/>
      <c r="AA451" s="375"/>
      <c r="AB451" s="375"/>
    </row>
    <row r="452" spans="1:28">
      <c r="A452" s="11" t="s">
        <v>17</v>
      </c>
      <c r="B452" s="334">
        <f t="shared" si="119"/>
        <v>3.3750468691413571E-2</v>
      </c>
      <c r="C452" s="436">
        <v>3.4000000000000002E-2</v>
      </c>
      <c r="D452" s="376">
        <f t="shared" si="123"/>
        <v>0.86360000000000003</v>
      </c>
      <c r="E452" s="334">
        <f t="shared" si="120"/>
        <v>3.5000000000000003E-2</v>
      </c>
      <c r="F452" s="334">
        <f t="shared" si="124"/>
        <v>0.88900000000000001</v>
      </c>
      <c r="G452" s="531">
        <f t="shared" si="121"/>
        <v>13.253904761904764</v>
      </c>
      <c r="H452" s="324" t="str">
        <f t="shared" si="122"/>
        <v>yes</v>
      </c>
      <c r="I452" s="588" t="s">
        <v>15</v>
      </c>
      <c r="J452" s="578">
        <f t="shared" ref="J452:J453" si="127">G452-D452+D451</f>
        <v>13.203104761904763</v>
      </c>
      <c r="K452" s="578" t="str">
        <f t="shared" si="125"/>
        <v>yes</v>
      </c>
      <c r="L452" s="578"/>
      <c r="M452" s="578"/>
      <c r="N452" s="578"/>
      <c r="O452" s="375"/>
      <c r="P452" s="324"/>
      <c r="Q452" s="221"/>
      <c r="R452" s="335"/>
      <c r="S452" s="549"/>
      <c r="T452" s="549"/>
      <c r="U452" s="549"/>
      <c r="V452" s="549"/>
      <c r="W452" s="441"/>
      <c r="X452" s="441"/>
      <c r="Y452" s="441"/>
      <c r="Z452" s="441"/>
      <c r="AA452" s="375"/>
      <c r="AB452" s="375"/>
    </row>
    <row r="453" spans="1:28">
      <c r="A453" s="11" t="s">
        <v>19</v>
      </c>
      <c r="B453" s="334">
        <f t="shared" si="119"/>
        <v>3.7962991112597495E-2</v>
      </c>
      <c r="C453" s="436">
        <v>3.7999999999999999E-2</v>
      </c>
      <c r="D453" s="376">
        <f t="shared" si="123"/>
        <v>0.96519999999999995</v>
      </c>
      <c r="E453" s="334">
        <f t="shared" si="120"/>
        <v>3.9E-2</v>
      </c>
      <c r="F453" s="334">
        <f t="shared" si="124"/>
        <v>0.99059999999999993</v>
      </c>
      <c r="G453" s="531">
        <f t="shared" si="121"/>
        <v>13.184380180180167</v>
      </c>
      <c r="H453" s="324" t="str">
        <f t="shared" si="122"/>
        <v>yes</v>
      </c>
      <c r="I453" s="588" t="s">
        <v>17</v>
      </c>
      <c r="J453" s="578">
        <f t="shared" si="127"/>
        <v>13.082780180180167</v>
      </c>
      <c r="K453" s="578" t="str">
        <f t="shared" si="125"/>
        <v>yes</v>
      </c>
      <c r="L453" s="578"/>
      <c r="M453" s="578"/>
      <c r="N453" s="578"/>
      <c r="O453" s="375"/>
      <c r="P453" s="324"/>
      <c r="Q453" s="221"/>
      <c r="R453" s="335"/>
      <c r="S453" s="549"/>
      <c r="T453" s="549"/>
      <c r="U453" s="549"/>
      <c r="V453" s="549"/>
      <c r="W453" s="441"/>
      <c r="X453" s="441"/>
      <c r="Y453" s="441"/>
      <c r="Z453" s="441"/>
      <c r="AA453" s="375"/>
      <c r="AB453" s="375"/>
    </row>
    <row r="454" spans="1:28">
      <c r="A454" s="11" t="s">
        <v>168</v>
      </c>
      <c r="B454" s="334">
        <f t="shared" si="119"/>
        <v>3.8389135181631708E-2</v>
      </c>
      <c r="C454" s="436">
        <v>3.7999999999999999E-2</v>
      </c>
      <c r="D454" s="376">
        <f t="shared" si="123"/>
        <v>0.96519999999999995</v>
      </c>
      <c r="E454" s="334">
        <f t="shared" si="120"/>
        <v>3.9E-2</v>
      </c>
      <c r="F454" s="334">
        <f t="shared" si="124"/>
        <v>0.99059999999999993</v>
      </c>
      <c r="G454" s="531">
        <f t="shared" si="121"/>
        <v>13.108611764705882</v>
      </c>
      <c r="H454" s="324" t="str">
        <f t="shared" si="122"/>
        <v>yes</v>
      </c>
      <c r="I454" s="588" t="s">
        <v>17</v>
      </c>
      <c r="J454" s="578">
        <f>G454-D454+D452</f>
        <v>13.007011764705883</v>
      </c>
      <c r="K454" s="578" t="str">
        <f t="shared" si="125"/>
        <v>no</v>
      </c>
      <c r="L454" s="578"/>
      <c r="M454" s="578"/>
      <c r="N454" s="578"/>
      <c r="O454" s="375"/>
      <c r="P454" s="324"/>
      <c r="Q454" s="221"/>
      <c r="R454" s="335"/>
      <c r="S454" s="549"/>
      <c r="T454" s="549"/>
      <c r="U454" s="549"/>
      <c r="V454" s="549"/>
      <c r="W454" s="441"/>
      <c r="X454" s="441"/>
      <c r="Y454" s="441"/>
      <c r="Z454" s="441"/>
      <c r="AA454" s="375"/>
      <c r="AB454" s="375"/>
    </row>
    <row r="455" spans="1:28">
      <c r="A455" s="11" t="s">
        <v>21</v>
      </c>
      <c r="B455" s="334">
        <f t="shared" si="119"/>
        <v>4.4992125984251945E-2</v>
      </c>
      <c r="C455" s="436">
        <v>4.4999999999999998E-2</v>
      </c>
      <c r="D455" s="376">
        <f t="shared" si="123"/>
        <v>1.1429999999999998</v>
      </c>
      <c r="E455" s="334">
        <f t="shared" si="120"/>
        <v>4.5999999999999999E-2</v>
      </c>
      <c r="F455" s="334">
        <f t="shared" si="124"/>
        <v>1.1683999999999999</v>
      </c>
      <c r="G455" s="531">
        <f t="shared" si="121"/>
        <v>13.153600000000001</v>
      </c>
      <c r="H455" s="324" t="str">
        <f t="shared" si="122"/>
        <v>yes</v>
      </c>
      <c r="I455" s="588" t="s">
        <v>19</v>
      </c>
      <c r="J455" s="578">
        <f t="shared" ref="J455:J456" si="128">G455-D455+D453</f>
        <v>12.9758</v>
      </c>
      <c r="K455" s="578" t="str">
        <f t="shared" si="125"/>
        <v>no</v>
      </c>
      <c r="L455" s="578"/>
      <c r="M455" s="578"/>
      <c r="N455" s="578"/>
      <c r="O455" s="375"/>
      <c r="P455" s="324"/>
      <c r="Q455" s="221"/>
      <c r="R455" s="335"/>
      <c r="S455" s="549"/>
      <c r="T455" s="549"/>
      <c r="U455" s="549"/>
      <c r="V455" s="549"/>
      <c r="W455" s="441"/>
      <c r="X455" s="441"/>
      <c r="Y455" s="441"/>
      <c r="Z455" s="441"/>
      <c r="AA455" s="375"/>
      <c r="AB455" s="375"/>
    </row>
    <row r="456" spans="1:28">
      <c r="A456" s="11" t="s">
        <v>243</v>
      </c>
      <c r="B456" s="334">
        <f t="shared" si="119"/>
        <v>4.4890523552976916E-2</v>
      </c>
      <c r="C456" s="436">
        <v>4.4999999999999998E-2</v>
      </c>
      <c r="D456" s="376">
        <f t="shared" si="123"/>
        <v>1.1429999999999998</v>
      </c>
      <c r="E456" s="334">
        <f t="shared" si="120"/>
        <v>4.5999999999999999E-2</v>
      </c>
      <c r="F456" s="334">
        <f t="shared" si="124"/>
        <v>1.1683999999999999</v>
      </c>
      <c r="G456" s="531">
        <f t="shared" si="121"/>
        <v>13.169084210526318</v>
      </c>
      <c r="H456" s="324" t="str">
        <f t="shared" si="122"/>
        <v>yes</v>
      </c>
      <c r="I456" s="588" t="s">
        <v>168</v>
      </c>
      <c r="J456" s="578">
        <f t="shared" si="128"/>
        <v>12.991284210526317</v>
      </c>
      <c r="K456" s="578" t="str">
        <f t="shared" si="125"/>
        <v>no</v>
      </c>
      <c r="L456" s="578"/>
      <c r="M456" s="578"/>
      <c r="N456" s="578"/>
      <c r="O456" s="375"/>
      <c r="P456" s="324"/>
      <c r="Q456" s="221"/>
      <c r="R456" s="335"/>
      <c r="S456" s="549"/>
      <c r="T456" s="549"/>
      <c r="U456" s="549"/>
      <c r="V456" s="549"/>
      <c r="W456" s="441"/>
      <c r="X456" s="441"/>
      <c r="Y456" s="441"/>
      <c r="Z456" s="441"/>
      <c r="AA456" s="375"/>
      <c r="AB456" s="375"/>
    </row>
    <row r="457" spans="1:28">
      <c r="A457" s="11" t="s">
        <v>22</v>
      </c>
      <c r="B457" s="334">
        <f t="shared" si="119"/>
        <v>5.0390576177977736E-2</v>
      </c>
      <c r="C457" s="436">
        <v>0.05</v>
      </c>
      <c r="D457" s="376">
        <f t="shared" si="123"/>
        <v>1.27</v>
      </c>
      <c r="E457" s="334">
        <f t="shared" si="120"/>
        <v>5.1000000000000004E-2</v>
      </c>
      <c r="F457" s="334">
        <f t="shared" si="124"/>
        <v>1.2954000000000001</v>
      </c>
      <c r="G457" s="531">
        <f t="shared" si="121"/>
        <v>13.077396825396828</v>
      </c>
      <c r="H457" s="324" t="str">
        <f t="shared" si="122"/>
        <v>yes</v>
      </c>
      <c r="I457" s="588" t="s">
        <v>22</v>
      </c>
      <c r="J457" s="578">
        <f>G457</f>
        <v>13.077396825396828</v>
      </c>
      <c r="K457" s="578" t="str">
        <f t="shared" si="125"/>
        <v>yes</v>
      </c>
      <c r="L457" s="578"/>
      <c r="M457" s="578"/>
      <c r="N457" s="578"/>
      <c r="O457" s="375"/>
      <c r="P457" s="324"/>
      <c r="Q457" s="221"/>
      <c r="R457" s="335"/>
      <c r="S457" s="549"/>
      <c r="T457" s="549"/>
      <c r="U457" s="549"/>
      <c r="V457" s="549"/>
      <c r="W457" s="441"/>
      <c r="X457" s="441"/>
      <c r="Y457" s="441"/>
      <c r="Z457" s="441"/>
      <c r="AA457" s="375"/>
      <c r="AB457" s="375"/>
    </row>
    <row r="458" spans="1:28">
      <c r="A458" s="11" t="s">
        <v>244</v>
      </c>
      <c r="B458" s="334">
        <f t="shared" si="119"/>
        <v>5.1884139482564665E-2</v>
      </c>
      <c r="C458" s="436">
        <v>5.1999999999999998E-2</v>
      </c>
      <c r="D458" s="376">
        <f t="shared" si="123"/>
        <v>1.3208</v>
      </c>
      <c r="E458" s="334">
        <f t="shared" si="120"/>
        <v>5.2999999999999999E-2</v>
      </c>
      <c r="F458" s="334">
        <f t="shared" si="124"/>
        <v>1.3461999999999998</v>
      </c>
      <c r="G458" s="531">
        <f t="shared" si="121"/>
        <v>13.141714285714288</v>
      </c>
      <c r="H458" s="324" t="str">
        <f t="shared" si="122"/>
        <v>yes</v>
      </c>
      <c r="I458" s="588" t="s">
        <v>243</v>
      </c>
      <c r="J458" s="578">
        <f>G458-E458+E456</f>
        <v>13.134714285714287</v>
      </c>
      <c r="K458" s="578" t="str">
        <f t="shared" si="125"/>
        <v>yes</v>
      </c>
      <c r="L458" s="578"/>
      <c r="M458" s="578"/>
      <c r="N458" s="578"/>
      <c r="O458" s="375"/>
      <c r="P458" s="324"/>
      <c r="Q458" s="221"/>
      <c r="R458" s="335"/>
      <c r="S458" s="549"/>
      <c r="T458" s="549"/>
      <c r="U458" s="549"/>
      <c r="V458" s="549"/>
      <c r="W458" s="441"/>
      <c r="X458" s="441"/>
      <c r="Y458" s="441"/>
      <c r="Z458" s="441"/>
      <c r="AA458" s="375"/>
      <c r="AB458" s="375"/>
    </row>
    <row r="459" spans="1:28">
      <c r="A459" s="11" t="s">
        <v>24</v>
      </c>
      <c r="B459" s="334">
        <f t="shared" si="119"/>
        <v>6.7240813648293957E-2</v>
      </c>
      <c r="C459" s="436">
        <v>6.7000000000000004E-2</v>
      </c>
      <c r="D459" s="376">
        <f t="shared" si="123"/>
        <v>1.7018</v>
      </c>
      <c r="E459" s="334">
        <f t="shared" si="120"/>
        <v>6.8000000000000005E-2</v>
      </c>
      <c r="F459" s="334">
        <f t="shared" si="124"/>
        <v>1.7272000000000001</v>
      </c>
      <c r="G459" s="531">
        <f t="shared" si="121"/>
        <v>13.077133333333334</v>
      </c>
      <c r="H459" s="324" t="str">
        <f t="shared" si="122"/>
        <v>yes</v>
      </c>
      <c r="I459" s="588" t="s">
        <v>24</v>
      </c>
      <c r="J459" s="578">
        <f>G459</f>
        <v>13.077133333333334</v>
      </c>
      <c r="K459" s="578" t="str">
        <f t="shared" si="125"/>
        <v>yes</v>
      </c>
      <c r="L459" s="578"/>
      <c r="M459" s="578"/>
      <c r="N459" s="578"/>
      <c r="O459" s="375"/>
      <c r="P459" s="324"/>
      <c r="Q459" s="221"/>
      <c r="R459" s="335"/>
      <c r="S459" s="549"/>
      <c r="T459" s="549"/>
      <c r="U459" s="549"/>
      <c r="V459" s="549"/>
      <c r="W459" s="441"/>
      <c r="X459" s="441"/>
      <c r="Y459" s="441"/>
      <c r="Z459" s="441"/>
      <c r="AA459" s="375"/>
      <c r="AB459" s="375"/>
    </row>
    <row r="460" spans="1:28">
      <c r="A460" s="11" t="s">
        <v>26</v>
      </c>
      <c r="B460" s="334">
        <f t="shared" si="119"/>
        <v>9.2331036745406853E-2</v>
      </c>
      <c r="C460" s="436">
        <v>9.1999999999999998E-2</v>
      </c>
      <c r="D460" s="376">
        <f t="shared" si="123"/>
        <v>2.3367999999999998</v>
      </c>
      <c r="E460" s="334">
        <f t="shared" si="120"/>
        <v>9.2999999999999999E-2</v>
      </c>
      <c r="F460" s="334">
        <f t="shared" si="124"/>
        <v>2.3621999999999996</v>
      </c>
      <c r="G460" s="531">
        <f t="shared" si="121"/>
        <v>13.050974999999998</v>
      </c>
      <c r="H460" s="324" t="str">
        <f t="shared" si="122"/>
        <v>yes</v>
      </c>
      <c r="I460" s="588" t="s">
        <v>26</v>
      </c>
      <c r="J460" s="578">
        <f t="shared" ref="J460:J463" si="129">G460</f>
        <v>13.050974999999998</v>
      </c>
      <c r="K460" s="578" t="str">
        <f t="shared" si="125"/>
        <v>yes</v>
      </c>
      <c r="L460" s="578"/>
      <c r="M460" s="578"/>
      <c r="N460" s="578"/>
      <c r="O460" s="375"/>
      <c r="P460" s="324"/>
      <c r="Q460" s="221"/>
      <c r="R460" s="335"/>
      <c r="S460" s="549"/>
      <c r="T460" s="549"/>
      <c r="U460" s="549"/>
      <c r="V460" s="549"/>
      <c r="W460" s="441"/>
      <c r="X460" s="441"/>
      <c r="Y460" s="441"/>
      <c r="Z460" s="441"/>
      <c r="AA460" s="375"/>
      <c r="AB460" s="375"/>
    </row>
    <row r="461" spans="1:28">
      <c r="A461" s="11" t="s">
        <v>239</v>
      </c>
      <c r="B461" s="334">
        <f t="shared" si="119"/>
        <v>0.12110474827010266</v>
      </c>
      <c r="C461" s="436">
        <v>0.121</v>
      </c>
      <c r="D461" s="376">
        <f t="shared" si="123"/>
        <v>3.0733999999999999</v>
      </c>
      <c r="E461" s="334">
        <f t="shared" si="120"/>
        <v>0.122</v>
      </c>
      <c r="F461" s="334">
        <f t="shared" si="124"/>
        <v>3.0987999999999998</v>
      </c>
      <c r="G461" s="531">
        <f t="shared" si="121"/>
        <v>13.045478787878785</v>
      </c>
      <c r="H461" s="324" t="str">
        <f t="shared" si="122"/>
        <v>no</v>
      </c>
      <c r="I461" s="588" t="s">
        <v>239</v>
      </c>
      <c r="J461" s="578">
        <f t="shared" si="129"/>
        <v>13.045478787878785</v>
      </c>
      <c r="K461" s="578" t="str">
        <f t="shared" si="125"/>
        <v>no</v>
      </c>
      <c r="L461" s="578"/>
      <c r="M461" s="578"/>
      <c r="N461" s="578"/>
      <c r="O461" s="375"/>
      <c r="P461" s="324"/>
      <c r="Q461" s="221"/>
      <c r="R461" s="335"/>
      <c r="S461" s="549"/>
      <c r="T461" s="549"/>
      <c r="U461" s="549"/>
      <c r="V461" s="549"/>
      <c r="W461" s="441"/>
      <c r="X461" s="441"/>
      <c r="Y461" s="441"/>
      <c r="Z461" s="441"/>
      <c r="AA461" s="375"/>
      <c r="AB461" s="375"/>
    </row>
    <row r="462" spans="1:28">
      <c r="A462" s="11" t="s">
        <v>89</v>
      </c>
      <c r="B462" s="334">
        <f t="shared" si="119"/>
        <v>0.25018372703412078</v>
      </c>
      <c r="C462" s="436">
        <v>0.25</v>
      </c>
      <c r="D462" s="376">
        <f t="shared" si="123"/>
        <v>6.35</v>
      </c>
      <c r="E462" s="531">
        <f t="shared" si="120"/>
        <v>0.251</v>
      </c>
      <c r="F462" s="324">
        <f t="shared" si="124"/>
        <v>6.3754</v>
      </c>
      <c r="G462" s="531">
        <f t="shared" si="121"/>
        <v>13.020733333333332</v>
      </c>
      <c r="H462" s="324" t="str">
        <f t="shared" si="122"/>
        <v>no</v>
      </c>
      <c r="I462" s="588" t="s">
        <v>89</v>
      </c>
      <c r="J462" s="578">
        <f t="shared" si="129"/>
        <v>13.020733333333332</v>
      </c>
      <c r="K462" s="578" t="str">
        <f t="shared" si="125"/>
        <v>no</v>
      </c>
      <c r="L462" s="538"/>
      <c r="N462" s="519"/>
      <c r="O462" t="s">
        <v>424</v>
      </c>
    </row>
    <row r="463" spans="1:28">
      <c r="A463" s="32" t="s">
        <v>245</v>
      </c>
      <c r="B463" s="368">
        <f t="shared" si="119"/>
        <v>0.24793307086614172</v>
      </c>
      <c r="C463" s="437">
        <v>0.248</v>
      </c>
      <c r="D463" s="386">
        <f t="shared" si="123"/>
        <v>6.2991999999999999</v>
      </c>
      <c r="E463" s="438">
        <f t="shared" si="120"/>
        <v>0.249</v>
      </c>
      <c r="F463" s="368">
        <f t="shared" si="124"/>
        <v>6.3245999999999993</v>
      </c>
      <c r="G463" s="438">
        <f t="shared" si="121"/>
        <v>13.027100000000001</v>
      </c>
      <c r="H463" s="368" t="str">
        <f t="shared" si="122"/>
        <v>no</v>
      </c>
      <c r="I463" s="595" t="s">
        <v>245</v>
      </c>
      <c r="J463" s="579">
        <f t="shared" si="129"/>
        <v>13.027100000000001</v>
      </c>
      <c r="K463" s="579" t="str">
        <f t="shared" si="125"/>
        <v>no</v>
      </c>
      <c r="L463" s="538"/>
      <c r="N463" s="574"/>
    </row>
    <row r="464" spans="1:28">
      <c r="A464" s="11"/>
      <c r="B464" s="324"/>
      <c r="C464" s="436"/>
      <c r="D464" s="375"/>
      <c r="E464" s="324"/>
      <c r="F464" s="324"/>
      <c r="G464" s="324"/>
      <c r="H464" s="324"/>
      <c r="I464" s="578"/>
      <c r="J464" s="578"/>
      <c r="K464" s="578"/>
      <c r="L464" s="578"/>
      <c r="M464" s="538"/>
      <c r="O464" s="574"/>
    </row>
    <row r="465" spans="1:16">
      <c r="A465" s="11"/>
      <c r="B465" s="324"/>
      <c r="C465" s="436"/>
      <c r="D465" s="375"/>
      <c r="E465" s="324"/>
      <c r="F465" s="324"/>
      <c r="G465" s="324"/>
      <c r="H465" s="324"/>
      <c r="I465" s="578"/>
      <c r="J465" s="578"/>
      <c r="K465" s="578"/>
      <c r="L465" s="578"/>
      <c r="M465" s="538"/>
      <c r="O465" s="574"/>
    </row>
    <row r="466" spans="1:16" ht="26.25">
      <c r="A466" s="427" t="s">
        <v>482</v>
      </c>
      <c r="B466" s="427"/>
      <c r="C466" s="427"/>
      <c r="D466" s="427"/>
      <c r="E466" s="388"/>
      <c r="F466" s="388"/>
      <c r="G466" s="541" t="s">
        <v>411</v>
      </c>
      <c r="H466" s="388"/>
      <c r="I466" s="578"/>
      <c r="J466" s="578"/>
      <c r="K466" s="578"/>
      <c r="L466" s="578"/>
      <c r="M466" s="538"/>
      <c r="O466" s="574"/>
    </row>
    <row r="467" spans="1:16" ht="21">
      <c r="A467" s="778" t="s">
        <v>340</v>
      </c>
      <c r="B467" s="778"/>
      <c r="E467" s="529" t="s">
        <v>408</v>
      </c>
      <c r="G467" s="529" t="s">
        <v>422</v>
      </c>
      <c r="H467" s="540"/>
      <c r="I467" s="583" t="s">
        <v>462</v>
      </c>
      <c r="J467" s="15"/>
      <c r="K467" s="15"/>
      <c r="L467" s="538"/>
      <c r="N467" s="574"/>
    </row>
    <row r="468" spans="1:16">
      <c r="A468" s="11" t="s">
        <v>246</v>
      </c>
      <c r="B468" s="574" t="s">
        <v>256</v>
      </c>
      <c r="C468" s="436" t="s">
        <v>337</v>
      </c>
      <c r="D468" s="379"/>
      <c r="E468" s="335" t="s">
        <v>342</v>
      </c>
      <c r="F468" s="335"/>
      <c r="G468" s="528" t="s">
        <v>410</v>
      </c>
      <c r="H468" s="335" t="s">
        <v>411</v>
      </c>
      <c r="I468" s="528" t="s">
        <v>460</v>
      </c>
      <c r="J468" s="335" t="s">
        <v>466</v>
      </c>
      <c r="K468" s="335" t="s">
        <v>411</v>
      </c>
      <c r="L468" s="324"/>
      <c r="N468" s="538"/>
      <c r="P468" s="574"/>
    </row>
    <row r="469" spans="1:16">
      <c r="A469" s="32"/>
      <c r="B469" s="342" t="s">
        <v>112</v>
      </c>
      <c r="C469" s="437" t="s">
        <v>112</v>
      </c>
      <c r="D469" s="393" t="s">
        <v>113</v>
      </c>
      <c r="E469" s="342" t="s">
        <v>112</v>
      </c>
      <c r="F469" s="342" t="s">
        <v>113</v>
      </c>
      <c r="G469" s="357" t="s">
        <v>113</v>
      </c>
      <c r="H469" s="342" t="s">
        <v>409</v>
      </c>
      <c r="I469" s="580" t="s">
        <v>461</v>
      </c>
      <c r="J469" s="395"/>
      <c r="K469" s="395" t="s">
        <v>409</v>
      </c>
      <c r="L469" s="324"/>
      <c r="N469" s="538"/>
      <c r="P469" s="574"/>
    </row>
    <row r="470" spans="1:16">
      <c r="B470" s="574"/>
      <c r="C470" s="436"/>
      <c r="D470" s="379"/>
      <c r="E470" s="574"/>
      <c r="F470" s="574"/>
      <c r="G470" s="576"/>
      <c r="H470" s="577"/>
      <c r="I470" s="528"/>
      <c r="J470" s="335"/>
      <c r="K470" s="335"/>
      <c r="L470" s="324"/>
      <c r="N470" s="538"/>
      <c r="P470" s="574"/>
    </row>
    <row r="471" spans="1:16">
      <c r="A471" s="66" t="s">
        <v>6</v>
      </c>
      <c r="B471" s="334">
        <f>N43</f>
        <v>2.4251968503937012E-2</v>
      </c>
      <c r="C471" s="436">
        <v>2.4E-2</v>
      </c>
      <c r="D471" s="376">
        <f>C471*25.4</f>
        <v>0.60960000000000003</v>
      </c>
      <c r="E471" s="334">
        <f t="shared" ref="E471:E490" si="130">C471+$B$369</f>
        <v>2.5000000000000001E-2</v>
      </c>
      <c r="F471" s="334">
        <f>E471*25.4</f>
        <v>0.63500000000000001</v>
      </c>
      <c r="G471" s="531">
        <f t="shared" ref="G471:G490" si="131">(F471+J43)*B43</f>
        <v>13.246999999999998</v>
      </c>
      <c r="H471" s="324" t="str">
        <f t="shared" ref="H471:H490" si="132">IF(G471&gt;$B$372, "yes", "no")</f>
        <v>yes</v>
      </c>
      <c r="I471" s="588" t="s">
        <v>6</v>
      </c>
      <c r="J471" s="578">
        <f>G471</f>
        <v>13.246999999999998</v>
      </c>
      <c r="K471" s="578" t="str">
        <f>IF(J471&gt;$B$372, "yes", "no")</f>
        <v>yes</v>
      </c>
      <c r="L471" s="324"/>
      <c r="N471" s="538"/>
      <c r="P471" s="574"/>
    </row>
    <row r="472" spans="1:16">
      <c r="A472" s="66" t="s">
        <v>164</v>
      </c>
      <c r="B472" s="334">
        <f t="shared" ref="B472:B490" si="133">N44</f>
        <v>2.4219386369807222E-2</v>
      </c>
      <c r="C472" s="436">
        <v>2.4E-2</v>
      </c>
      <c r="D472" s="376">
        <f t="shared" ref="D472:D490" si="134">C472*25.4</f>
        <v>0.60960000000000003</v>
      </c>
      <c r="E472" s="334">
        <f t="shared" si="130"/>
        <v>2.5000000000000001E-2</v>
      </c>
      <c r="F472" s="334">
        <f t="shared" ref="F472:F490" si="135">E472*25.4</f>
        <v>0.63500000000000001</v>
      </c>
      <c r="G472" s="531">
        <f t="shared" si="131"/>
        <v>13.257758620689657</v>
      </c>
      <c r="H472" s="324" t="str">
        <f t="shared" si="132"/>
        <v>yes</v>
      </c>
      <c r="I472" s="588" t="s">
        <v>164</v>
      </c>
      <c r="J472" s="578">
        <f>G472</f>
        <v>13.257758620689657</v>
      </c>
      <c r="K472" s="578" t="str">
        <f t="shared" ref="K472:K490" si="136">IF(J472&gt;$B$372, "yes", "no")</f>
        <v>yes</v>
      </c>
      <c r="L472" s="324"/>
      <c r="N472" s="538"/>
      <c r="P472" s="574"/>
    </row>
    <row r="473" spans="1:16">
      <c r="A473" s="66" t="s">
        <v>9</v>
      </c>
      <c r="B473" s="334">
        <f t="shared" si="133"/>
        <v>2.2947983774755456E-2</v>
      </c>
      <c r="C473" s="436">
        <v>2.3E-2</v>
      </c>
      <c r="D473" s="376">
        <f t="shared" si="134"/>
        <v>0.58419999999999994</v>
      </c>
      <c r="E473" s="334">
        <f t="shared" si="130"/>
        <v>2.4E-2</v>
      </c>
      <c r="F473" s="334">
        <f t="shared" si="135"/>
        <v>0.60960000000000003</v>
      </c>
      <c r="G473" s="531">
        <f t="shared" si="131"/>
        <v>13.320654545454538</v>
      </c>
      <c r="H473" s="324" t="str">
        <f t="shared" si="132"/>
        <v>yes</v>
      </c>
      <c r="I473" s="588" t="s">
        <v>6</v>
      </c>
      <c r="J473" s="578">
        <f>G473-D473+D471</f>
        <v>13.346054545454539</v>
      </c>
      <c r="K473" s="578" t="str">
        <f t="shared" si="136"/>
        <v>yes</v>
      </c>
      <c r="L473" s="324"/>
      <c r="N473" s="538"/>
      <c r="P473" s="574"/>
    </row>
    <row r="474" spans="1:16">
      <c r="A474" s="66" t="s">
        <v>165</v>
      </c>
      <c r="B474" s="334">
        <f t="shared" si="133"/>
        <v>2.2399801376179307E-2</v>
      </c>
      <c r="C474" s="436">
        <v>2.1999999999999999E-2</v>
      </c>
      <c r="D474" s="376">
        <f t="shared" si="134"/>
        <v>0.55879999999999996</v>
      </c>
      <c r="E474" s="334">
        <f t="shared" si="130"/>
        <v>2.3E-2</v>
      </c>
      <c r="F474" s="334">
        <f t="shared" si="135"/>
        <v>0.58419999999999994</v>
      </c>
      <c r="G474" s="531">
        <f t="shared" si="131"/>
        <v>13.182940540540544</v>
      </c>
      <c r="H474" s="324" t="str">
        <f t="shared" si="132"/>
        <v>yes</v>
      </c>
      <c r="I474" s="588" t="s">
        <v>164</v>
      </c>
      <c r="J474" s="578">
        <f t="shared" ref="J474:J477" si="137">G474-D474+D472</f>
        <v>13.233740540540545</v>
      </c>
      <c r="K474" s="578" t="str">
        <f t="shared" si="136"/>
        <v>yes</v>
      </c>
      <c r="L474" s="324"/>
      <c r="N474" s="538"/>
      <c r="P474" s="574"/>
    </row>
    <row r="475" spans="1:16">
      <c r="A475" s="66" t="s">
        <v>11</v>
      </c>
      <c r="B475" s="334">
        <f t="shared" si="133"/>
        <v>2.6825340014316426E-2</v>
      </c>
      <c r="C475" s="436">
        <v>2.7E-2</v>
      </c>
      <c r="D475" s="376">
        <f t="shared" si="134"/>
        <v>0.68579999999999997</v>
      </c>
      <c r="E475" s="334">
        <f t="shared" si="130"/>
        <v>2.8000000000000001E-2</v>
      </c>
      <c r="F475" s="334">
        <f t="shared" si="135"/>
        <v>0.71119999999999994</v>
      </c>
      <c r="G475" s="531">
        <f t="shared" si="131"/>
        <v>13.328199999999992</v>
      </c>
      <c r="H475" s="324" t="str">
        <f t="shared" si="132"/>
        <v>yes</v>
      </c>
      <c r="I475" s="588" t="s">
        <v>9</v>
      </c>
      <c r="J475" s="578">
        <f t="shared" si="137"/>
        <v>13.226599999999991</v>
      </c>
      <c r="K475" s="578" t="str">
        <f t="shared" si="136"/>
        <v>yes</v>
      </c>
      <c r="L475" s="324"/>
      <c r="N475" s="538"/>
      <c r="P475" s="574"/>
    </row>
    <row r="476" spans="1:16">
      <c r="A476" s="66" t="s">
        <v>226</v>
      </c>
      <c r="B476" s="334">
        <f t="shared" si="133"/>
        <v>2.6277157615740277E-2</v>
      </c>
      <c r="C476" s="436">
        <v>2.5999999999999999E-2</v>
      </c>
      <c r="D476" s="376">
        <f t="shared" si="134"/>
        <v>0.66039999999999999</v>
      </c>
      <c r="E476" s="334">
        <f t="shared" si="130"/>
        <v>2.7E-2</v>
      </c>
      <c r="F476" s="334">
        <f t="shared" si="135"/>
        <v>0.68579999999999997</v>
      </c>
      <c r="G476" s="531">
        <f t="shared" si="131"/>
        <v>13.201962162162166</v>
      </c>
      <c r="H476" s="324" t="str">
        <f t="shared" si="132"/>
        <v>yes</v>
      </c>
      <c r="I476" s="588" t="s">
        <v>165</v>
      </c>
      <c r="J476" s="578">
        <f t="shared" si="137"/>
        <v>13.100362162162167</v>
      </c>
      <c r="K476" s="578" t="str">
        <f t="shared" si="136"/>
        <v>yes</v>
      </c>
      <c r="L476" s="324"/>
      <c r="N476" s="538"/>
      <c r="P476" s="574"/>
    </row>
    <row r="477" spans="1:16">
      <c r="A477" s="11" t="s">
        <v>13</v>
      </c>
      <c r="B477" s="334">
        <f t="shared" si="133"/>
        <v>3.1478167501789583E-2</v>
      </c>
      <c r="C477" s="436">
        <v>3.1E-2</v>
      </c>
      <c r="D477" s="376">
        <f t="shared" si="134"/>
        <v>0.78739999999999999</v>
      </c>
      <c r="E477" s="334">
        <f t="shared" si="130"/>
        <v>3.2000000000000001E-2</v>
      </c>
      <c r="F477" s="334">
        <f t="shared" si="135"/>
        <v>0.81279999999999997</v>
      </c>
      <c r="G477" s="531">
        <f t="shared" si="131"/>
        <v>13.132545454545447</v>
      </c>
      <c r="H477" s="324" t="str">
        <f t="shared" si="132"/>
        <v>yes</v>
      </c>
      <c r="I477" s="588" t="s">
        <v>11</v>
      </c>
      <c r="J477" s="578">
        <f t="shared" si="137"/>
        <v>13.030945454545448</v>
      </c>
      <c r="K477" s="578" t="str">
        <f t="shared" si="136"/>
        <v>no</v>
      </c>
      <c r="L477" s="324"/>
      <c r="N477" s="538"/>
      <c r="P477" s="574"/>
    </row>
    <row r="478" spans="1:16">
      <c r="A478" s="11" t="s">
        <v>15</v>
      </c>
      <c r="B478" s="334">
        <f t="shared" si="133"/>
        <v>3.2027559055118122E-2</v>
      </c>
      <c r="C478" s="436">
        <v>3.2000000000000001E-2</v>
      </c>
      <c r="D478" s="376">
        <f t="shared" si="134"/>
        <v>0.81279999999999997</v>
      </c>
      <c r="E478" s="334">
        <f t="shared" si="130"/>
        <v>3.3000000000000002E-2</v>
      </c>
      <c r="F478" s="334">
        <f t="shared" si="135"/>
        <v>0.83819999999999995</v>
      </c>
      <c r="G478" s="531">
        <f t="shared" si="131"/>
        <v>13.222299999999997</v>
      </c>
      <c r="H478" s="324" t="str">
        <f t="shared" si="132"/>
        <v>yes</v>
      </c>
      <c r="I478" s="588" t="s">
        <v>13</v>
      </c>
      <c r="J478" s="578">
        <f>G478-D478+D477</f>
        <v>13.196899999999998</v>
      </c>
      <c r="K478" s="578" t="str">
        <f t="shared" si="136"/>
        <v>yes</v>
      </c>
      <c r="L478" s="324"/>
      <c r="N478" s="538"/>
      <c r="P478" s="574"/>
    </row>
    <row r="479" spans="1:16">
      <c r="A479" s="11" t="s">
        <v>17</v>
      </c>
      <c r="B479" s="334">
        <f t="shared" si="133"/>
        <v>3.3750468691413571E-2</v>
      </c>
      <c r="C479" s="436">
        <v>3.4000000000000002E-2</v>
      </c>
      <c r="D479" s="376">
        <f t="shared" si="134"/>
        <v>0.86360000000000003</v>
      </c>
      <c r="E479" s="334">
        <f t="shared" si="130"/>
        <v>3.5000000000000003E-2</v>
      </c>
      <c r="F479" s="334">
        <f t="shared" si="135"/>
        <v>0.88900000000000001</v>
      </c>
      <c r="G479" s="531">
        <f t="shared" si="131"/>
        <v>13.253904761904764</v>
      </c>
      <c r="H479" s="324" t="str">
        <f t="shared" si="132"/>
        <v>yes</v>
      </c>
      <c r="I479" s="588" t="s">
        <v>15</v>
      </c>
      <c r="J479" s="578">
        <f t="shared" ref="J479:J480" si="138">G479-D479+D478</f>
        <v>13.203104761904763</v>
      </c>
      <c r="K479" s="578" t="str">
        <f t="shared" si="136"/>
        <v>yes</v>
      </c>
      <c r="L479" s="324"/>
      <c r="N479" s="538"/>
      <c r="P479" s="574"/>
    </row>
    <row r="480" spans="1:16">
      <c r="A480" s="11" t="s">
        <v>19</v>
      </c>
      <c r="B480" s="334">
        <f t="shared" si="133"/>
        <v>3.7962991112597495E-2</v>
      </c>
      <c r="C480" s="436">
        <v>3.7999999999999999E-2</v>
      </c>
      <c r="D480" s="376">
        <f t="shared" si="134"/>
        <v>0.96519999999999995</v>
      </c>
      <c r="E480" s="334">
        <f t="shared" si="130"/>
        <v>3.9E-2</v>
      </c>
      <c r="F480" s="334">
        <f t="shared" si="135"/>
        <v>0.99059999999999993</v>
      </c>
      <c r="G480" s="531">
        <f t="shared" si="131"/>
        <v>13.184380180180167</v>
      </c>
      <c r="H480" s="324" t="str">
        <f t="shared" si="132"/>
        <v>yes</v>
      </c>
      <c r="I480" s="588" t="s">
        <v>17</v>
      </c>
      <c r="J480" s="578">
        <f t="shared" si="138"/>
        <v>13.082780180180167</v>
      </c>
      <c r="K480" s="578" t="str">
        <f t="shared" si="136"/>
        <v>yes</v>
      </c>
      <c r="L480" s="324"/>
      <c r="N480" s="538"/>
      <c r="P480" s="574"/>
    </row>
    <row r="481" spans="1:17">
      <c r="A481" s="11" t="s">
        <v>168</v>
      </c>
      <c r="B481" s="334">
        <f t="shared" si="133"/>
        <v>3.8389135181631708E-2</v>
      </c>
      <c r="C481" s="436">
        <v>3.7999999999999999E-2</v>
      </c>
      <c r="D481" s="376">
        <f t="shared" si="134"/>
        <v>0.96519999999999995</v>
      </c>
      <c r="E481" s="334">
        <f t="shared" si="130"/>
        <v>3.9E-2</v>
      </c>
      <c r="F481" s="334">
        <f t="shared" si="135"/>
        <v>0.99059999999999993</v>
      </c>
      <c r="G481" s="531">
        <f t="shared" si="131"/>
        <v>13.108611764705882</v>
      </c>
      <c r="H481" s="324" t="str">
        <f t="shared" si="132"/>
        <v>yes</v>
      </c>
      <c r="I481" s="588" t="s">
        <v>17</v>
      </c>
      <c r="J481" s="578">
        <f>G481-D481+D479</f>
        <v>13.007011764705883</v>
      </c>
      <c r="K481" s="578" t="str">
        <f t="shared" si="136"/>
        <v>no</v>
      </c>
      <c r="L481" s="324"/>
      <c r="N481" s="538"/>
      <c r="P481" s="574"/>
    </row>
    <row r="482" spans="1:17">
      <c r="A482" s="11" t="s">
        <v>21</v>
      </c>
      <c r="B482" s="334">
        <f t="shared" si="133"/>
        <v>4.4992125984251945E-2</v>
      </c>
      <c r="C482" s="436">
        <v>4.4999999999999998E-2</v>
      </c>
      <c r="D482" s="376">
        <f t="shared" si="134"/>
        <v>1.1429999999999998</v>
      </c>
      <c r="E482" s="334">
        <f t="shared" si="130"/>
        <v>4.5999999999999999E-2</v>
      </c>
      <c r="F482" s="334">
        <f t="shared" si="135"/>
        <v>1.1683999999999999</v>
      </c>
      <c r="G482" s="531">
        <f t="shared" si="131"/>
        <v>13.153600000000001</v>
      </c>
      <c r="H482" s="324" t="str">
        <f t="shared" si="132"/>
        <v>yes</v>
      </c>
      <c r="I482" s="588" t="s">
        <v>19</v>
      </c>
      <c r="J482" s="578">
        <f t="shared" ref="J482:J483" si="139">G482-D482+D480</f>
        <v>12.9758</v>
      </c>
      <c r="K482" s="578" t="str">
        <f t="shared" si="136"/>
        <v>no</v>
      </c>
      <c r="L482" s="324"/>
      <c r="N482" s="538"/>
      <c r="P482" s="574"/>
    </row>
    <row r="483" spans="1:17">
      <c r="A483" s="11" t="s">
        <v>243</v>
      </c>
      <c r="B483" s="334">
        <f t="shared" si="133"/>
        <v>4.4890523552976916E-2</v>
      </c>
      <c r="C483" s="436">
        <v>4.4999999999999998E-2</v>
      </c>
      <c r="D483" s="376">
        <f t="shared" si="134"/>
        <v>1.1429999999999998</v>
      </c>
      <c r="E483" s="334">
        <f t="shared" si="130"/>
        <v>4.5999999999999999E-2</v>
      </c>
      <c r="F483" s="334">
        <f t="shared" si="135"/>
        <v>1.1683999999999999</v>
      </c>
      <c r="G483" s="531">
        <f t="shared" si="131"/>
        <v>13.169084210526318</v>
      </c>
      <c r="H483" s="324" t="str">
        <f t="shared" si="132"/>
        <v>yes</v>
      </c>
      <c r="I483" s="588" t="s">
        <v>168</v>
      </c>
      <c r="J483" s="578">
        <f t="shared" si="139"/>
        <v>12.991284210526317</v>
      </c>
      <c r="K483" s="578" t="str">
        <f t="shared" si="136"/>
        <v>no</v>
      </c>
      <c r="L483" s="324"/>
      <c r="N483" s="538"/>
      <c r="P483" s="574"/>
    </row>
    <row r="484" spans="1:17">
      <c r="A484" s="11" t="s">
        <v>22</v>
      </c>
      <c r="B484" s="334">
        <f t="shared" si="133"/>
        <v>5.0390576177977736E-2</v>
      </c>
      <c r="C484" s="436">
        <v>0.05</v>
      </c>
      <c r="D484" s="376">
        <f t="shared" si="134"/>
        <v>1.27</v>
      </c>
      <c r="E484" s="334">
        <f t="shared" si="130"/>
        <v>5.1000000000000004E-2</v>
      </c>
      <c r="F484" s="334">
        <f t="shared" si="135"/>
        <v>1.2954000000000001</v>
      </c>
      <c r="G484" s="531">
        <f t="shared" si="131"/>
        <v>13.077396825396828</v>
      </c>
      <c r="H484" s="324" t="str">
        <f t="shared" si="132"/>
        <v>yes</v>
      </c>
      <c r="I484" s="588" t="s">
        <v>22</v>
      </c>
      <c r="J484" s="578">
        <f>G484</f>
        <v>13.077396825396828</v>
      </c>
      <c r="K484" s="578" t="str">
        <f t="shared" si="136"/>
        <v>yes</v>
      </c>
      <c r="L484" s="324"/>
      <c r="N484" s="538"/>
      <c r="P484" s="574"/>
    </row>
    <row r="485" spans="1:17">
      <c r="A485" s="11" t="s">
        <v>244</v>
      </c>
      <c r="B485" s="334">
        <f t="shared" si="133"/>
        <v>5.1884139482564665E-2</v>
      </c>
      <c r="C485" s="436">
        <v>5.1999999999999998E-2</v>
      </c>
      <c r="D485" s="376">
        <f t="shared" si="134"/>
        <v>1.3208</v>
      </c>
      <c r="E485" s="334">
        <f t="shared" si="130"/>
        <v>5.2999999999999999E-2</v>
      </c>
      <c r="F485" s="334">
        <f t="shared" si="135"/>
        <v>1.3461999999999998</v>
      </c>
      <c r="G485" s="531">
        <f t="shared" si="131"/>
        <v>13.141714285714288</v>
      </c>
      <c r="H485" s="324" t="str">
        <f t="shared" si="132"/>
        <v>yes</v>
      </c>
      <c r="I485" s="588" t="s">
        <v>243</v>
      </c>
      <c r="J485" s="578">
        <f>G485-E485+E483</f>
        <v>13.134714285714287</v>
      </c>
      <c r="K485" s="578" t="str">
        <f t="shared" si="136"/>
        <v>yes</v>
      </c>
      <c r="L485" s="324"/>
      <c r="N485" s="538"/>
      <c r="P485" s="574"/>
    </row>
    <row r="486" spans="1:17">
      <c r="A486" s="11" t="s">
        <v>24</v>
      </c>
      <c r="B486" s="334">
        <f t="shared" si="133"/>
        <v>6.7240813648293957E-2</v>
      </c>
      <c r="C486" s="436">
        <v>6.7000000000000004E-2</v>
      </c>
      <c r="D486" s="376">
        <f t="shared" si="134"/>
        <v>1.7018</v>
      </c>
      <c r="E486" s="334">
        <f t="shared" si="130"/>
        <v>6.8000000000000005E-2</v>
      </c>
      <c r="F486" s="334">
        <f t="shared" si="135"/>
        <v>1.7272000000000001</v>
      </c>
      <c r="G486" s="531">
        <f t="shared" si="131"/>
        <v>13.077133333333334</v>
      </c>
      <c r="H486" s="324" t="str">
        <f t="shared" si="132"/>
        <v>yes</v>
      </c>
      <c r="I486" s="588" t="s">
        <v>24</v>
      </c>
      <c r="J486" s="578">
        <f>G486</f>
        <v>13.077133333333334</v>
      </c>
      <c r="K486" s="578" t="str">
        <f t="shared" si="136"/>
        <v>yes</v>
      </c>
      <c r="L486" s="324"/>
      <c r="N486" s="538"/>
      <c r="P486" s="574"/>
    </row>
    <row r="487" spans="1:17">
      <c r="A487" s="11" t="s">
        <v>26</v>
      </c>
      <c r="B487" s="334">
        <f t="shared" si="133"/>
        <v>9.2331036745406853E-2</v>
      </c>
      <c r="C487" s="436">
        <v>9.1999999999999998E-2</v>
      </c>
      <c r="D487" s="376">
        <f t="shared" si="134"/>
        <v>2.3367999999999998</v>
      </c>
      <c r="E487" s="334">
        <f t="shared" si="130"/>
        <v>9.2999999999999999E-2</v>
      </c>
      <c r="F487" s="334">
        <f t="shared" si="135"/>
        <v>2.3621999999999996</v>
      </c>
      <c r="G487" s="531">
        <f t="shared" si="131"/>
        <v>13.050974999999998</v>
      </c>
      <c r="H487" s="324" t="str">
        <f t="shared" si="132"/>
        <v>yes</v>
      </c>
      <c r="I487" s="588" t="s">
        <v>26</v>
      </c>
      <c r="J487" s="578">
        <f t="shared" ref="J487:J490" si="140">G487</f>
        <v>13.050974999999998</v>
      </c>
      <c r="K487" s="578" t="str">
        <f t="shared" si="136"/>
        <v>yes</v>
      </c>
      <c r="L487" s="324"/>
      <c r="N487" s="538"/>
      <c r="P487" s="574"/>
    </row>
    <row r="488" spans="1:17">
      <c r="A488" s="11" t="s">
        <v>239</v>
      </c>
      <c r="B488" s="334">
        <f t="shared" si="133"/>
        <v>0.12110474827010266</v>
      </c>
      <c r="C488" s="436">
        <v>0.121</v>
      </c>
      <c r="D488" s="376">
        <f t="shared" si="134"/>
        <v>3.0733999999999999</v>
      </c>
      <c r="E488" s="334">
        <f t="shared" si="130"/>
        <v>0.122</v>
      </c>
      <c r="F488" s="334">
        <f t="shared" si="135"/>
        <v>3.0987999999999998</v>
      </c>
      <c r="G488" s="531">
        <f t="shared" si="131"/>
        <v>13.045478787878785</v>
      </c>
      <c r="H488" s="324" t="str">
        <f t="shared" si="132"/>
        <v>no</v>
      </c>
      <c r="I488" s="588" t="s">
        <v>239</v>
      </c>
      <c r="J488" s="578">
        <f t="shared" si="140"/>
        <v>13.045478787878785</v>
      </c>
      <c r="K488" s="578" t="str">
        <f t="shared" si="136"/>
        <v>no</v>
      </c>
      <c r="L488" s="324"/>
      <c r="N488" s="538"/>
      <c r="P488" s="574"/>
    </row>
    <row r="489" spans="1:17">
      <c r="A489" s="11" t="s">
        <v>89</v>
      </c>
      <c r="B489" s="334">
        <f t="shared" si="133"/>
        <v>0.25018372703412078</v>
      </c>
      <c r="C489" s="436">
        <v>0.25</v>
      </c>
      <c r="D489" s="376">
        <f t="shared" si="134"/>
        <v>6.35</v>
      </c>
      <c r="E489" s="531">
        <f t="shared" si="130"/>
        <v>0.251</v>
      </c>
      <c r="F489" s="324">
        <f t="shared" si="135"/>
        <v>6.3754</v>
      </c>
      <c r="G489" s="531">
        <f t="shared" si="131"/>
        <v>13.020733333333332</v>
      </c>
      <c r="H489" s="324" t="str">
        <f t="shared" si="132"/>
        <v>no</v>
      </c>
      <c r="I489" s="588" t="s">
        <v>89</v>
      </c>
      <c r="J489" s="578">
        <f t="shared" si="140"/>
        <v>13.020733333333332</v>
      </c>
      <c r="K489" s="578" t="str">
        <f t="shared" si="136"/>
        <v>no</v>
      </c>
      <c r="L489" s="324"/>
      <c r="N489" s="538"/>
      <c r="P489" s="574"/>
    </row>
    <row r="490" spans="1:17">
      <c r="A490" s="32" t="s">
        <v>245</v>
      </c>
      <c r="B490" s="334">
        <f t="shared" si="133"/>
        <v>0.24793307086614172</v>
      </c>
      <c r="C490" s="437">
        <v>0.248</v>
      </c>
      <c r="D490" s="386">
        <f t="shared" si="134"/>
        <v>6.2991999999999999</v>
      </c>
      <c r="E490" s="438">
        <f t="shared" si="130"/>
        <v>0.249</v>
      </c>
      <c r="F490" s="368">
        <f t="shared" si="135"/>
        <v>6.3245999999999993</v>
      </c>
      <c r="G490" s="531">
        <f t="shared" si="131"/>
        <v>13.027100000000001</v>
      </c>
      <c r="H490" s="368" t="str">
        <f t="shared" si="132"/>
        <v>no</v>
      </c>
      <c r="I490" s="595" t="s">
        <v>245</v>
      </c>
      <c r="J490" s="579">
        <f t="shared" si="140"/>
        <v>13.027100000000001</v>
      </c>
      <c r="K490" s="579" t="str">
        <f t="shared" si="136"/>
        <v>no</v>
      </c>
      <c r="L490" s="324"/>
      <c r="N490" s="538"/>
      <c r="P490" s="574"/>
    </row>
    <row r="491" spans="1:17">
      <c r="M491" s="324"/>
      <c r="O491" s="538"/>
      <c r="Q491" s="574"/>
    </row>
    <row r="492" spans="1:17">
      <c r="M492" s="324"/>
      <c r="O492" s="538"/>
      <c r="Q492" s="574"/>
    </row>
    <row r="493" spans="1:17" ht="26.25">
      <c r="A493" s="427" t="s">
        <v>480</v>
      </c>
      <c r="B493" s="427"/>
      <c r="C493" s="427"/>
      <c r="D493" s="427"/>
      <c r="E493" s="324"/>
      <c r="F493" s="324"/>
      <c r="G493" s="324"/>
      <c r="H493" s="324"/>
      <c r="I493" s="324"/>
      <c r="J493" s="324"/>
      <c r="K493" s="324"/>
      <c r="M493" s="324"/>
      <c r="O493" s="538"/>
      <c r="Q493" s="574"/>
    </row>
    <row r="494" spans="1:17">
      <c r="M494" s="324"/>
      <c r="O494" s="538"/>
      <c r="Q494" s="574"/>
    </row>
    <row r="495" spans="1:17">
      <c r="M495" s="324"/>
      <c r="O495" s="538"/>
      <c r="Q495" s="574"/>
    </row>
    <row r="496" spans="1:17">
      <c r="M496" s="324"/>
      <c r="O496" s="538"/>
      <c r="Q496" s="574"/>
    </row>
    <row r="497" spans="13:17">
      <c r="M497" s="324"/>
      <c r="O497" s="538"/>
      <c r="Q497" s="574"/>
    </row>
    <row r="498" spans="13:17">
      <c r="M498" s="324"/>
      <c r="O498" s="538"/>
      <c r="Q498" s="574"/>
    </row>
    <row r="499" spans="13:17">
      <c r="M499" s="324"/>
      <c r="O499" s="538"/>
      <c r="Q499" s="574"/>
    </row>
    <row r="500" spans="13:17">
      <c r="M500" s="324"/>
      <c r="O500" s="538"/>
      <c r="Q500" s="574"/>
    </row>
    <row r="501" spans="13:17">
      <c r="M501" s="324"/>
      <c r="O501" s="538"/>
      <c r="Q501" s="574"/>
    </row>
    <row r="502" spans="13:17">
      <c r="M502" s="324"/>
      <c r="O502" s="538"/>
      <c r="Q502" s="574"/>
    </row>
    <row r="503" spans="13:17">
      <c r="M503" s="324"/>
      <c r="O503" s="538"/>
      <c r="Q503" s="574"/>
    </row>
    <row r="504" spans="13:17">
      <c r="M504" s="324"/>
      <c r="O504" s="538"/>
      <c r="Q504" s="574"/>
    </row>
    <row r="505" spans="13:17">
      <c r="M505" s="324"/>
      <c r="O505" s="538"/>
      <c r="Q505" s="574"/>
    </row>
    <row r="506" spans="13:17">
      <c r="M506" s="324"/>
      <c r="O506" s="538"/>
      <c r="Q506" s="574"/>
    </row>
    <row r="507" spans="13:17">
      <c r="M507" s="324"/>
      <c r="O507" s="538"/>
      <c r="Q507" s="574"/>
    </row>
    <row r="508" spans="13:17">
      <c r="M508" s="324"/>
      <c r="O508" s="538"/>
      <c r="Q508" s="574"/>
    </row>
    <row r="509" spans="13:17">
      <c r="M509" s="324"/>
      <c r="O509" s="538"/>
      <c r="Q509" s="574"/>
    </row>
    <row r="510" spans="13:17">
      <c r="N510" s="538"/>
      <c r="P510" s="574"/>
    </row>
    <row r="511" spans="13:17">
      <c r="M511" s="538"/>
      <c r="O511" s="574"/>
    </row>
    <row r="512" spans="13:17">
      <c r="M512" s="538"/>
      <c r="O512" s="574"/>
    </row>
    <row r="513" spans="1:15">
      <c r="M513" s="538"/>
      <c r="O513" s="574"/>
    </row>
    <row r="514" spans="1:15">
      <c r="M514" s="538"/>
      <c r="O514" s="574"/>
    </row>
    <row r="515" spans="1:15">
      <c r="M515" s="538"/>
      <c r="O515" s="574"/>
    </row>
    <row r="516" spans="1:15">
      <c r="M516" s="538"/>
      <c r="O516" s="574"/>
    </row>
    <row r="517" spans="1:15">
      <c r="M517" s="538"/>
      <c r="O517" s="574"/>
    </row>
    <row r="518" spans="1:15">
      <c r="A518" s="11"/>
      <c r="B518" s="324"/>
      <c r="C518" s="324"/>
      <c r="D518" s="324"/>
      <c r="E518" s="324"/>
      <c r="F518" s="324"/>
      <c r="G518" s="324"/>
      <c r="H518" s="324"/>
      <c r="I518" s="324"/>
      <c r="J518" s="324"/>
      <c r="K518" s="324"/>
      <c r="M518" s="538"/>
      <c r="O518" s="574"/>
    </row>
    <row r="519" spans="1:15">
      <c r="A519" s="11"/>
      <c r="B519" s="324"/>
      <c r="C519" s="324"/>
      <c r="D519" s="324"/>
      <c r="E519" s="324"/>
      <c r="F519" s="324"/>
      <c r="G519" s="324"/>
      <c r="H519" s="324"/>
      <c r="I519" s="324"/>
      <c r="J519" s="324"/>
      <c r="K519" s="324"/>
      <c r="M519" s="538"/>
      <c r="O519" s="574"/>
    </row>
    <row r="520" spans="1:15">
      <c r="A520" s="11"/>
      <c r="B520" s="324"/>
      <c r="C520" s="324"/>
      <c r="D520" s="324"/>
      <c r="E520" s="324"/>
      <c r="F520" s="324"/>
      <c r="G520" s="324"/>
      <c r="H520" s="324"/>
      <c r="I520" s="324"/>
      <c r="J520" s="324"/>
      <c r="K520" s="324"/>
      <c r="M520" s="538"/>
      <c r="O520" s="574"/>
    </row>
    <row r="521" spans="1:15">
      <c r="A521" s="11"/>
      <c r="B521" s="324"/>
      <c r="C521" s="324"/>
      <c r="D521" s="324"/>
      <c r="E521" s="324"/>
      <c r="F521" s="324"/>
      <c r="G521" s="324"/>
      <c r="H521" s="324"/>
      <c r="I521" s="324"/>
      <c r="J521" s="324"/>
      <c r="K521" s="324"/>
      <c r="M521" s="538"/>
      <c r="O521" s="574"/>
    </row>
    <row r="522" spans="1:15">
      <c r="A522" s="11"/>
      <c r="B522" s="324"/>
      <c r="C522" s="324"/>
      <c r="D522" s="324"/>
      <c r="E522" s="324"/>
      <c r="F522" s="324"/>
      <c r="G522" s="324"/>
      <c r="H522" s="324"/>
      <c r="I522" s="324"/>
      <c r="J522" s="324"/>
      <c r="K522" s="324"/>
      <c r="M522" s="538"/>
      <c r="O522" s="574"/>
    </row>
    <row r="523" spans="1:15">
      <c r="A523" s="11"/>
      <c r="B523" s="324"/>
      <c r="C523" s="324"/>
      <c r="D523" s="324"/>
      <c r="E523" s="324"/>
      <c r="F523" s="324"/>
      <c r="G523" s="324"/>
      <c r="H523" s="324"/>
      <c r="I523" s="324"/>
      <c r="J523" s="324"/>
      <c r="K523" s="324"/>
      <c r="M523" s="538"/>
      <c r="O523" s="574"/>
    </row>
    <row r="524" spans="1:15">
      <c r="A524" s="11"/>
      <c r="B524" s="324"/>
      <c r="C524" s="324"/>
      <c r="D524" s="324"/>
      <c r="E524" s="324"/>
      <c r="F524" s="324"/>
      <c r="G524" s="324"/>
      <c r="H524" s="324"/>
      <c r="I524" s="324"/>
      <c r="J524" s="324"/>
      <c r="K524" s="324"/>
      <c r="M524" s="538"/>
      <c r="O524" s="574"/>
    </row>
    <row r="525" spans="1:15">
      <c r="A525" s="11"/>
      <c r="B525" s="324"/>
      <c r="C525" s="324"/>
      <c r="D525" s="324"/>
      <c r="E525" s="324"/>
      <c r="F525" s="324"/>
      <c r="G525" s="324"/>
      <c r="H525" s="324"/>
      <c r="I525" s="324"/>
      <c r="J525" s="324"/>
      <c r="K525" s="324"/>
      <c r="M525" s="538"/>
      <c r="O525" s="574"/>
    </row>
    <row r="526" spans="1:15">
      <c r="A526" s="519"/>
      <c r="E526" s="324"/>
      <c r="L526" s="538"/>
      <c r="N526" s="519"/>
    </row>
    <row r="527" spans="1:15">
      <c r="A527" s="519"/>
      <c r="E527" s="324"/>
      <c r="L527" s="538"/>
      <c r="N527" s="519"/>
    </row>
    <row r="528" spans="1:15" ht="15.75" thickBot="1">
      <c r="A528" s="522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5"/>
      <c r="N528" s="519"/>
    </row>
    <row r="529" spans="1:14">
      <c r="A529" s="564"/>
      <c r="B529" s="406"/>
      <c r="C529" s="406"/>
      <c r="D529" s="406"/>
      <c r="E529" s="406"/>
      <c r="F529" s="406"/>
      <c r="G529" s="406"/>
      <c r="H529" s="406"/>
      <c r="I529" s="406"/>
      <c r="J529" s="406"/>
      <c r="K529" s="406"/>
      <c r="L529" s="565"/>
      <c r="N529" s="519"/>
    </row>
    <row r="530" spans="1:14" s="388" customFormat="1" ht="26.25">
      <c r="A530" s="566" t="s">
        <v>447</v>
      </c>
      <c r="B530" s="504"/>
      <c r="C530" s="504"/>
      <c r="D530" s="504"/>
      <c r="E530" s="504"/>
      <c r="F530" s="504"/>
      <c r="G530" s="504"/>
      <c r="H530" s="504"/>
      <c r="I530" s="504"/>
      <c r="J530" s="504"/>
      <c r="K530" s="504"/>
      <c r="L530" s="567"/>
      <c r="N530" s="523"/>
    </row>
    <row r="531" spans="1:14" ht="21">
      <c r="A531" s="568" t="s">
        <v>451</v>
      </c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420"/>
      <c r="N531" s="519"/>
    </row>
    <row r="532" spans="1:14" ht="21">
      <c r="A532" s="568" t="s">
        <v>456</v>
      </c>
      <c r="B532" s="11" t="s">
        <v>452</v>
      </c>
      <c r="C532" s="11"/>
      <c r="D532" s="11"/>
      <c r="E532" s="11"/>
      <c r="F532" s="11"/>
      <c r="G532" s="11"/>
      <c r="H532" s="11"/>
      <c r="I532" s="11"/>
      <c r="J532" s="11"/>
      <c r="K532" s="11"/>
      <c r="L532" s="420"/>
      <c r="N532" s="519"/>
    </row>
    <row r="533" spans="1:14" ht="21">
      <c r="A533" s="568"/>
      <c r="B533" s="11" t="s">
        <v>455</v>
      </c>
      <c r="C533" s="11"/>
      <c r="D533" s="11"/>
      <c r="E533" s="11"/>
      <c r="F533" s="11"/>
      <c r="G533" s="11"/>
      <c r="H533" s="11"/>
      <c r="I533" s="11"/>
      <c r="J533" s="11"/>
      <c r="K533" s="11"/>
      <c r="L533" s="420"/>
      <c r="N533" s="519"/>
    </row>
    <row r="534" spans="1:14" ht="21">
      <c r="A534" s="568"/>
      <c r="B534" s="11" t="s">
        <v>453</v>
      </c>
      <c r="C534" s="11"/>
      <c r="D534" s="11"/>
      <c r="E534" s="11"/>
      <c r="F534" s="11"/>
      <c r="G534" s="11"/>
      <c r="H534" s="11"/>
      <c r="I534" s="11"/>
      <c r="J534" s="11"/>
      <c r="K534" s="11"/>
      <c r="L534" s="420"/>
      <c r="N534" s="519"/>
    </row>
    <row r="535" spans="1:14" ht="21">
      <c r="A535" s="568"/>
      <c r="B535" s="11" t="s">
        <v>454</v>
      </c>
      <c r="C535" s="11"/>
      <c r="D535" s="11"/>
      <c r="E535" s="11"/>
      <c r="F535" s="11"/>
      <c r="G535" s="11"/>
      <c r="H535" s="11"/>
      <c r="I535" s="11"/>
      <c r="J535" s="11"/>
      <c r="K535" s="11"/>
      <c r="L535" s="420"/>
      <c r="N535" s="519"/>
    </row>
    <row r="536" spans="1:14" ht="19.5">
      <c r="A536" s="782"/>
      <c r="B536" s="780"/>
      <c r="C536" s="11"/>
      <c r="D536" s="11"/>
      <c r="E536" s="11"/>
      <c r="F536" s="11"/>
      <c r="G536" s="11"/>
      <c r="H536" s="11"/>
      <c r="I536" s="11"/>
      <c r="J536" s="5" t="s">
        <v>457</v>
      </c>
      <c r="K536" s="11"/>
      <c r="L536" s="420"/>
      <c r="N536" s="519"/>
    </row>
    <row r="537" spans="1:14">
      <c r="A537" s="323" t="s">
        <v>246</v>
      </c>
      <c r="B537" s="521" t="s">
        <v>256</v>
      </c>
      <c r="C537" s="522" t="s">
        <v>448</v>
      </c>
      <c r="D537" s="521" t="s">
        <v>449</v>
      </c>
      <c r="E537" s="522" t="s">
        <v>450</v>
      </c>
      <c r="F537" s="521" t="str">
        <f>I381</f>
        <v>Sum of pitches</v>
      </c>
      <c r="G537" s="522" t="str">
        <f>J381</f>
        <v>Pitches</v>
      </c>
      <c r="H537" s="521" t="s">
        <v>316</v>
      </c>
      <c r="I537" s="379" t="str">
        <f>R381</f>
        <v>Bundle</v>
      </c>
      <c r="J537" s="522" t="s">
        <v>271</v>
      </c>
      <c r="K537" s="429" t="s">
        <v>271</v>
      </c>
      <c r="L537" s="420"/>
      <c r="N537" s="519"/>
    </row>
    <row r="538" spans="1:14">
      <c r="A538" s="569"/>
      <c r="B538" s="357" t="s">
        <v>113</v>
      </c>
      <c r="C538" s="342" t="s">
        <v>113</v>
      </c>
      <c r="D538" s="357" t="s">
        <v>113</v>
      </c>
      <c r="E538" s="342" t="s">
        <v>113</v>
      </c>
      <c r="F538" s="357" t="str">
        <f>I382</f>
        <v>mm</v>
      </c>
      <c r="G538" s="342" t="str">
        <f>J382</f>
        <v>too big?</v>
      </c>
      <c r="H538" s="357" t="s">
        <v>113</v>
      </c>
      <c r="I538" s="393" t="str">
        <f>R382</f>
        <v>too Thick?</v>
      </c>
      <c r="J538" s="342" t="s">
        <v>307</v>
      </c>
      <c r="K538" s="393" t="s">
        <v>309</v>
      </c>
      <c r="L538" s="420"/>
      <c r="N538" s="519"/>
    </row>
    <row r="539" spans="1:14">
      <c r="A539" s="319"/>
      <c r="B539" s="521"/>
      <c r="C539" s="11"/>
      <c r="D539" s="5"/>
      <c r="E539" s="522"/>
      <c r="F539" s="521"/>
      <c r="G539" s="522"/>
      <c r="H539" s="521"/>
      <c r="I539" s="522"/>
      <c r="J539" s="5"/>
      <c r="K539" s="491"/>
      <c r="L539" s="420"/>
      <c r="N539" s="519"/>
    </row>
    <row r="540" spans="1:14">
      <c r="A540" s="570" t="s">
        <v>6</v>
      </c>
      <c r="B540" s="374">
        <f t="shared" ref="B540:B559" si="141">M43</f>
        <v>0.6160000000000001</v>
      </c>
      <c r="C540" s="375">
        <f t="shared" ref="C540:C559" si="142">D384</f>
        <v>0.58419999999999994</v>
      </c>
      <c r="D540" s="374">
        <f t="shared" ref="D540:D559" si="143">C43</f>
        <v>1</v>
      </c>
      <c r="E540" s="375">
        <f t="shared" ref="E540:E559" si="144">C540+J43</f>
        <v>0.96819999999999973</v>
      </c>
      <c r="F540" s="374">
        <f t="shared" ref="F540:F559" si="145">I384</f>
        <v>12.916799999999999</v>
      </c>
      <c r="G540" s="324" t="str">
        <f t="shared" ref="G540:G559" si="146">J384</f>
        <v>no</v>
      </c>
      <c r="H540" s="374">
        <f t="shared" ref="H540:H559" si="147">O384</f>
        <v>13.526399999999999</v>
      </c>
      <c r="I540" s="375" t="str">
        <f t="shared" ref="I540:I559" si="148">R384</f>
        <v>no</v>
      </c>
      <c r="J540" s="562">
        <f>C540/E540</f>
        <v>0.60338772980789102</v>
      </c>
      <c r="K540" s="363">
        <f>(C540-0.18)/E540</f>
        <v>0.41747572815533984</v>
      </c>
      <c r="L540" s="420"/>
      <c r="N540" s="519"/>
    </row>
    <row r="541" spans="1:14">
      <c r="A541" s="570" t="s">
        <v>164</v>
      </c>
      <c r="B541" s="374">
        <f t="shared" si="141"/>
        <v>0.61517241379310339</v>
      </c>
      <c r="C541" s="375">
        <f t="shared" si="142"/>
        <v>0.58419999999999994</v>
      </c>
      <c r="D541" s="374">
        <f t="shared" si="143"/>
        <v>1</v>
      </c>
      <c r="E541" s="375">
        <f t="shared" si="144"/>
        <v>0.96902758620689655</v>
      </c>
      <c r="F541" s="374">
        <f t="shared" si="145"/>
        <v>12.927558620689657</v>
      </c>
      <c r="G541" s="324" t="str">
        <f t="shared" si="146"/>
        <v>no</v>
      </c>
      <c r="H541" s="374">
        <f t="shared" si="147"/>
        <v>13.537158620689658</v>
      </c>
      <c r="I541" s="375" t="str">
        <f t="shared" si="148"/>
        <v>no</v>
      </c>
      <c r="J541" s="562">
        <f t="shared" ref="J541:J559" si="149">C541/E541</f>
        <v>0.6028724138667273</v>
      </c>
      <c r="K541" s="363">
        <f t="shared" ref="K541:K559" si="150">(C541-0.18)/E541</f>
        <v>0.41711918809471277</v>
      </c>
      <c r="L541" s="420"/>
      <c r="N541" s="519"/>
    </row>
    <row r="542" spans="1:14">
      <c r="A542" s="570" t="s">
        <v>9</v>
      </c>
      <c r="B542" s="374">
        <f t="shared" si="141"/>
        <v>0.58287878787878855</v>
      </c>
      <c r="C542" s="375">
        <f t="shared" si="142"/>
        <v>0.55879999999999996</v>
      </c>
      <c r="D542" s="374">
        <f t="shared" si="143"/>
        <v>1.0833333333333333</v>
      </c>
      <c r="E542" s="375">
        <f t="shared" si="144"/>
        <v>1.0592545454545448</v>
      </c>
      <c r="F542" s="374">
        <f t="shared" si="145"/>
        <v>13.041254545454537</v>
      </c>
      <c r="G542" s="324" t="str">
        <f t="shared" si="146"/>
        <v>no</v>
      </c>
      <c r="H542" s="374">
        <f t="shared" si="147"/>
        <v>13.650854545454537</v>
      </c>
      <c r="I542" s="375" t="str">
        <f t="shared" si="148"/>
        <v>no</v>
      </c>
      <c r="J542" s="562">
        <f t="shared" si="149"/>
        <v>0.52754080914536838</v>
      </c>
      <c r="K542" s="363">
        <f t="shared" si="150"/>
        <v>0.3576099830069176</v>
      </c>
      <c r="L542" s="420"/>
      <c r="N542" s="519"/>
    </row>
    <row r="543" spans="1:14">
      <c r="A543" s="570" t="s">
        <v>165</v>
      </c>
      <c r="B543" s="374">
        <f t="shared" si="141"/>
        <v>0.56895495495495441</v>
      </c>
      <c r="C543" s="375">
        <f t="shared" si="142"/>
        <v>0.53339999999999999</v>
      </c>
      <c r="D543" s="374">
        <f t="shared" si="143"/>
        <v>1.0833333333333333</v>
      </c>
      <c r="E543" s="375">
        <f t="shared" si="144"/>
        <v>1.0477783783783789</v>
      </c>
      <c r="F543" s="374">
        <f t="shared" si="145"/>
        <v>12.928940540540548</v>
      </c>
      <c r="G543" s="324" t="str">
        <f t="shared" si="146"/>
        <v>no</v>
      </c>
      <c r="H543" s="374">
        <f t="shared" si="147"/>
        <v>13.538540540540549</v>
      </c>
      <c r="I543" s="375" t="str">
        <f t="shared" si="148"/>
        <v>no</v>
      </c>
      <c r="J543" s="562">
        <f t="shared" si="149"/>
        <v>0.50907712070326372</v>
      </c>
      <c r="K543" s="363">
        <f t="shared" si="150"/>
        <v>0.33728506647269108</v>
      </c>
      <c r="L543" s="420"/>
      <c r="N543" s="519"/>
    </row>
    <row r="544" spans="1:14">
      <c r="A544" s="570" t="s">
        <v>11</v>
      </c>
      <c r="B544" s="374">
        <f t="shared" si="141"/>
        <v>0.68136363636363717</v>
      </c>
      <c r="C544" s="375">
        <f t="shared" si="142"/>
        <v>0.66039999999999999</v>
      </c>
      <c r="D544" s="374">
        <f t="shared" si="143"/>
        <v>1.1818181818181819</v>
      </c>
      <c r="E544" s="375">
        <f t="shared" si="144"/>
        <v>1.1608545454545447</v>
      </c>
      <c r="F544" s="374">
        <f t="shared" si="145"/>
        <v>12.972599999999993</v>
      </c>
      <c r="G544" s="324" t="str">
        <f t="shared" si="146"/>
        <v>no</v>
      </c>
      <c r="H544" s="374">
        <f t="shared" si="147"/>
        <v>13.582199999999993</v>
      </c>
      <c r="I544" s="375" t="str">
        <f t="shared" si="148"/>
        <v>no</v>
      </c>
      <c r="J544" s="562">
        <f t="shared" si="149"/>
        <v>0.56889125565805787</v>
      </c>
      <c r="K544" s="363">
        <f t="shared" si="150"/>
        <v>0.41383306968220929</v>
      </c>
      <c r="L544" s="420"/>
      <c r="N544" s="519"/>
    </row>
    <row r="545" spans="1:14">
      <c r="A545" s="570" t="s">
        <v>226</v>
      </c>
      <c r="B545" s="374">
        <f t="shared" si="141"/>
        <v>0.66743980343980303</v>
      </c>
      <c r="C545" s="375">
        <f t="shared" si="142"/>
        <v>0.63500000000000001</v>
      </c>
      <c r="D545" s="374">
        <f t="shared" si="143"/>
        <v>1.1818181818181819</v>
      </c>
      <c r="E545" s="375">
        <f t="shared" si="144"/>
        <v>1.1493783783783789</v>
      </c>
      <c r="F545" s="374">
        <f t="shared" si="145"/>
        <v>12.871762162162167</v>
      </c>
      <c r="G545" s="324" t="str">
        <f t="shared" si="146"/>
        <v>no</v>
      </c>
      <c r="H545" s="374">
        <f t="shared" si="147"/>
        <v>13.481362162162167</v>
      </c>
      <c r="I545" s="375" t="str">
        <f t="shared" si="148"/>
        <v>no</v>
      </c>
      <c r="J545" s="562">
        <f t="shared" si="149"/>
        <v>0.55247254685258751</v>
      </c>
      <c r="K545" s="363">
        <f t="shared" si="150"/>
        <v>0.39586615561878319</v>
      </c>
      <c r="L545" s="420"/>
      <c r="N545" s="519"/>
    </row>
    <row r="546" spans="1:14">
      <c r="A546" s="319" t="s">
        <v>13</v>
      </c>
      <c r="B546" s="374">
        <f t="shared" si="141"/>
        <v>0.79954545454545534</v>
      </c>
      <c r="C546" s="375">
        <f t="shared" si="142"/>
        <v>0.7619999999999999</v>
      </c>
      <c r="D546" s="374">
        <f t="shared" si="143"/>
        <v>1.3</v>
      </c>
      <c r="E546" s="375">
        <f t="shared" si="144"/>
        <v>1.2624545454545446</v>
      </c>
      <c r="F546" s="374">
        <f t="shared" si="145"/>
        <v>12.700745454545448</v>
      </c>
      <c r="G546" s="324" t="str">
        <f t="shared" si="146"/>
        <v>no</v>
      </c>
      <c r="H546" s="374">
        <f t="shared" si="147"/>
        <v>13.310345454545448</v>
      </c>
      <c r="I546" s="375" t="str">
        <f t="shared" si="148"/>
        <v>no</v>
      </c>
      <c r="J546" s="562">
        <f t="shared" si="149"/>
        <v>0.60358608770792865</v>
      </c>
      <c r="K546" s="363">
        <f t="shared" si="150"/>
        <v>0.46100669691078006</v>
      </c>
      <c r="L546" s="420"/>
      <c r="N546" s="519"/>
    </row>
    <row r="547" spans="1:14">
      <c r="A547" s="319" t="s">
        <v>15</v>
      </c>
      <c r="B547" s="374">
        <f t="shared" si="141"/>
        <v>0.81350000000000022</v>
      </c>
      <c r="C547" s="375">
        <f t="shared" si="142"/>
        <v>0.78739999999999999</v>
      </c>
      <c r="D547" s="374">
        <f t="shared" si="143"/>
        <v>1.4444444444444444</v>
      </c>
      <c r="E547" s="375">
        <f t="shared" si="144"/>
        <v>1.4183444444444442</v>
      </c>
      <c r="F547" s="374">
        <f t="shared" si="145"/>
        <v>12.790499999999998</v>
      </c>
      <c r="G547" s="324" t="str">
        <f t="shared" si="146"/>
        <v>no</v>
      </c>
      <c r="H547" s="374">
        <f t="shared" si="147"/>
        <v>13.400099999999998</v>
      </c>
      <c r="I547" s="375" t="str">
        <f t="shared" si="148"/>
        <v>no</v>
      </c>
      <c r="J547" s="562">
        <f t="shared" si="149"/>
        <v>0.55515428786300158</v>
      </c>
      <c r="K547" s="363">
        <f t="shared" si="150"/>
        <v>0.42824576384047131</v>
      </c>
      <c r="L547" s="420"/>
      <c r="N547" s="519"/>
    </row>
    <row r="548" spans="1:14">
      <c r="A548" s="319" t="s">
        <v>17</v>
      </c>
      <c r="B548" s="374">
        <f t="shared" si="141"/>
        <v>0.85726190476190467</v>
      </c>
      <c r="C548" s="375">
        <f t="shared" si="142"/>
        <v>0.83819999999999995</v>
      </c>
      <c r="D548" s="374">
        <f t="shared" si="143"/>
        <v>1.625</v>
      </c>
      <c r="E548" s="375">
        <f t="shared" si="144"/>
        <v>1.6059380952380953</v>
      </c>
      <c r="F548" s="374">
        <f t="shared" si="145"/>
        <v>12.796704761904763</v>
      </c>
      <c r="G548" s="324" t="str">
        <f t="shared" si="146"/>
        <v>no</v>
      </c>
      <c r="H548" s="374">
        <f t="shared" si="147"/>
        <v>13.406304761904764</v>
      </c>
      <c r="I548" s="375" t="str">
        <f t="shared" si="148"/>
        <v>no</v>
      </c>
      <c r="J548" s="562">
        <f t="shared" si="149"/>
        <v>0.52193792680142448</v>
      </c>
      <c r="K548" s="363">
        <f t="shared" si="150"/>
        <v>0.40985390529789734</v>
      </c>
      <c r="L548" s="420"/>
      <c r="N548" s="519"/>
    </row>
    <row r="549" spans="1:14">
      <c r="A549" s="319" t="s">
        <v>19</v>
      </c>
      <c r="B549" s="374">
        <f t="shared" si="141"/>
        <v>0.96425997425997634</v>
      </c>
      <c r="C549" s="375">
        <f t="shared" si="142"/>
        <v>0.93979999999999986</v>
      </c>
      <c r="D549" s="374">
        <f t="shared" si="143"/>
        <v>1.8571428571428572</v>
      </c>
      <c r="E549" s="375">
        <f t="shared" si="144"/>
        <v>1.8326828828828807</v>
      </c>
      <c r="F549" s="374">
        <f t="shared" si="145"/>
        <v>12.650980180180166</v>
      </c>
      <c r="G549" s="324" t="str">
        <f t="shared" si="146"/>
        <v>no</v>
      </c>
      <c r="H549" s="374">
        <f t="shared" si="147"/>
        <v>13.260580180180167</v>
      </c>
      <c r="I549" s="375" t="str">
        <f t="shared" si="148"/>
        <v>no</v>
      </c>
      <c r="J549" s="562">
        <f t="shared" si="149"/>
        <v>0.51280011876449583</v>
      </c>
      <c r="K549" s="363">
        <f t="shared" si="150"/>
        <v>0.41458345417882941</v>
      </c>
      <c r="L549" s="420"/>
      <c r="N549" s="519"/>
    </row>
    <row r="550" spans="1:14">
      <c r="A550" s="319" t="s">
        <v>168</v>
      </c>
      <c r="B550" s="374">
        <f t="shared" si="141"/>
        <v>0.97508403361344531</v>
      </c>
      <c r="C550" s="375">
        <f t="shared" si="142"/>
        <v>0.93979999999999986</v>
      </c>
      <c r="D550" s="374">
        <f t="shared" si="143"/>
        <v>1.8571428571428572</v>
      </c>
      <c r="E550" s="375">
        <f t="shared" si="144"/>
        <v>1.8218588235294118</v>
      </c>
      <c r="F550" s="374">
        <f t="shared" si="145"/>
        <v>12.575211764705884</v>
      </c>
      <c r="G550" s="324" t="str">
        <f t="shared" si="146"/>
        <v>no</v>
      </c>
      <c r="H550" s="374">
        <f t="shared" si="147"/>
        <v>13.184811764705884</v>
      </c>
      <c r="I550" s="375" t="str">
        <f t="shared" si="148"/>
        <v>no</v>
      </c>
      <c r="J550" s="562">
        <f t="shared" si="149"/>
        <v>0.51584677575585369</v>
      </c>
      <c r="K550" s="363">
        <f t="shared" si="150"/>
        <v>0.4170465846130002</v>
      </c>
      <c r="L550" s="420"/>
      <c r="N550" s="519"/>
    </row>
    <row r="551" spans="1:14">
      <c r="A551" s="319" t="s">
        <v>21</v>
      </c>
      <c r="B551" s="374">
        <f t="shared" si="141"/>
        <v>1.1427999999999994</v>
      </c>
      <c r="C551" s="375">
        <f t="shared" si="142"/>
        <v>1.1175999999999999</v>
      </c>
      <c r="D551" s="374">
        <f t="shared" si="143"/>
        <v>2.1666666666666665</v>
      </c>
      <c r="E551" s="375">
        <f t="shared" si="144"/>
        <v>2.1414666666666671</v>
      </c>
      <c r="F551" s="374">
        <f t="shared" si="145"/>
        <v>12.467800000000002</v>
      </c>
      <c r="G551" s="324" t="str">
        <f t="shared" si="146"/>
        <v>no</v>
      </c>
      <c r="H551" s="374">
        <f t="shared" si="147"/>
        <v>13.077400000000003</v>
      </c>
      <c r="I551" s="375" t="str">
        <f t="shared" si="148"/>
        <v>no</v>
      </c>
      <c r="J551" s="562">
        <f t="shared" si="149"/>
        <v>0.52188531224705792</v>
      </c>
      <c r="K551" s="363">
        <f t="shared" si="150"/>
        <v>0.43783077018865568</v>
      </c>
      <c r="L551" s="420"/>
      <c r="N551" s="519"/>
    </row>
    <row r="552" spans="1:14">
      <c r="A552" s="319" t="s">
        <v>243</v>
      </c>
      <c r="B552" s="374">
        <f t="shared" si="141"/>
        <v>1.1402192982456136</v>
      </c>
      <c r="C552" s="375">
        <f t="shared" si="142"/>
        <v>1.1175999999999999</v>
      </c>
      <c r="D552" s="374">
        <f t="shared" si="143"/>
        <v>2.1666666666666665</v>
      </c>
      <c r="E552" s="375">
        <f t="shared" si="144"/>
        <v>2.1440473684210528</v>
      </c>
      <c r="F552" s="374">
        <f t="shared" si="145"/>
        <v>12.483284210526318</v>
      </c>
      <c r="G552" s="324" t="str">
        <f t="shared" si="146"/>
        <v>no</v>
      </c>
      <c r="H552" s="374">
        <f t="shared" si="147"/>
        <v>13.092884210526318</v>
      </c>
      <c r="I552" s="375" t="str">
        <f t="shared" si="148"/>
        <v>no</v>
      </c>
      <c r="J552" s="562">
        <f t="shared" si="149"/>
        <v>0.52125714033222947</v>
      </c>
      <c r="K552" s="363">
        <f t="shared" si="150"/>
        <v>0.43730377127371001</v>
      </c>
      <c r="L552" s="420"/>
      <c r="N552" s="519"/>
    </row>
    <row r="553" spans="1:14">
      <c r="A553" s="319" t="s">
        <v>22</v>
      </c>
      <c r="B553" s="374">
        <f t="shared" si="141"/>
        <v>1.2799206349206345</v>
      </c>
      <c r="C553" s="375">
        <f t="shared" si="142"/>
        <v>1.27</v>
      </c>
      <c r="D553" s="374">
        <f t="shared" si="143"/>
        <v>2.6</v>
      </c>
      <c r="E553" s="375">
        <f t="shared" si="144"/>
        <v>2.5900793650793656</v>
      </c>
      <c r="F553" s="374">
        <f t="shared" si="145"/>
        <v>12.391596825396828</v>
      </c>
      <c r="G553" s="324" t="str">
        <f t="shared" si="146"/>
        <v>no</v>
      </c>
      <c r="H553" s="374">
        <f t="shared" si="147"/>
        <v>13.001196825396828</v>
      </c>
      <c r="I553" s="375" t="str">
        <f t="shared" si="148"/>
        <v>no</v>
      </c>
      <c r="J553" s="562">
        <f t="shared" si="149"/>
        <v>0.49033246514478313</v>
      </c>
      <c r="K553" s="363">
        <f t="shared" si="150"/>
        <v>0.42083652520300285</v>
      </c>
      <c r="L553" s="420"/>
      <c r="N553" s="519"/>
    </row>
    <row r="554" spans="1:14">
      <c r="A554" s="319" t="s">
        <v>244</v>
      </c>
      <c r="B554" s="374">
        <f t="shared" si="141"/>
        <v>1.3178571428571424</v>
      </c>
      <c r="C554" s="375">
        <f t="shared" si="142"/>
        <v>1.2953999999999999</v>
      </c>
      <c r="D554" s="374">
        <f t="shared" si="143"/>
        <v>2.6</v>
      </c>
      <c r="E554" s="375">
        <f t="shared" si="144"/>
        <v>2.5775428571428574</v>
      </c>
      <c r="F554" s="374">
        <f t="shared" si="145"/>
        <v>12.303514285714289</v>
      </c>
      <c r="G554" s="324" t="str">
        <f t="shared" si="146"/>
        <v>no</v>
      </c>
      <c r="H554" s="374">
        <f t="shared" si="147"/>
        <v>12.91311428571429</v>
      </c>
      <c r="I554" s="375" t="str">
        <f t="shared" si="148"/>
        <v>no</v>
      </c>
      <c r="J554" s="562">
        <f t="shared" si="149"/>
        <v>0.50257166293479938</v>
      </c>
      <c r="K554" s="363">
        <f t="shared" si="150"/>
        <v>0.43273771255015847</v>
      </c>
      <c r="L554" s="420"/>
      <c r="N554" s="519"/>
    </row>
    <row r="555" spans="1:14">
      <c r="A555" s="319" t="s">
        <v>24</v>
      </c>
      <c r="B555" s="374">
        <f t="shared" si="141"/>
        <v>1.7079166666666665</v>
      </c>
      <c r="C555" s="375">
        <f t="shared" si="142"/>
        <v>1.7018</v>
      </c>
      <c r="D555" s="374">
        <f t="shared" si="143"/>
        <v>3.25</v>
      </c>
      <c r="E555" s="375">
        <f t="shared" si="144"/>
        <v>3.2438833333333337</v>
      </c>
      <c r="F555" s="374">
        <f t="shared" si="145"/>
        <v>11.959533333333335</v>
      </c>
      <c r="G555" s="324" t="str">
        <f t="shared" si="146"/>
        <v>no</v>
      </c>
      <c r="H555" s="374">
        <f t="shared" si="147"/>
        <v>12.569133333333335</v>
      </c>
      <c r="I555" s="375" t="str">
        <f t="shared" si="148"/>
        <v>no</v>
      </c>
      <c r="J555" s="562">
        <f t="shared" si="149"/>
        <v>0.52461812745012404</v>
      </c>
      <c r="K555" s="363">
        <f t="shared" si="150"/>
        <v>0.4691290788304141</v>
      </c>
      <c r="L555" s="420"/>
      <c r="N555" s="519"/>
    </row>
    <row r="556" spans="1:14">
      <c r="A556" s="319" t="s">
        <v>26</v>
      </c>
      <c r="B556" s="374">
        <f t="shared" si="141"/>
        <v>2.3452083333333338</v>
      </c>
      <c r="C556" s="375">
        <f t="shared" si="142"/>
        <v>2.3367999999999998</v>
      </c>
      <c r="D556" s="374">
        <f t="shared" si="143"/>
        <v>4.333333333333333</v>
      </c>
      <c r="E556" s="375">
        <f t="shared" si="144"/>
        <v>4.3249249999999986</v>
      </c>
      <c r="F556" s="374">
        <f t="shared" si="145"/>
        <v>11.298374999999997</v>
      </c>
      <c r="G556" s="324" t="str">
        <f t="shared" si="146"/>
        <v>no</v>
      </c>
      <c r="H556" s="374">
        <f t="shared" si="147"/>
        <v>11.907974999999997</v>
      </c>
      <c r="I556" s="375" t="str">
        <f t="shared" si="148"/>
        <v>no</v>
      </c>
      <c r="J556" s="562">
        <f t="shared" si="149"/>
        <v>0.54030994757134532</v>
      </c>
      <c r="K556" s="363">
        <f t="shared" si="150"/>
        <v>0.49869072874096088</v>
      </c>
      <c r="L556" s="420"/>
      <c r="N556" s="519"/>
    </row>
    <row r="557" spans="1:14">
      <c r="A557" s="319" t="s">
        <v>239</v>
      </c>
      <c r="B557" s="374">
        <f t="shared" si="141"/>
        <v>3.0760606060606075</v>
      </c>
      <c r="C557" s="375">
        <f t="shared" si="142"/>
        <v>3.0733999999999999</v>
      </c>
      <c r="D557" s="374">
        <f t="shared" si="143"/>
        <v>6.5</v>
      </c>
      <c r="E557" s="375">
        <f t="shared" si="144"/>
        <v>6.4973393939393924</v>
      </c>
      <c r="F557" s="374">
        <f t="shared" si="145"/>
        <v>10.556278787878785</v>
      </c>
      <c r="G557" s="324" t="str">
        <f t="shared" si="146"/>
        <v>no</v>
      </c>
      <c r="H557" s="374">
        <f t="shared" si="147"/>
        <v>11.165878787878786</v>
      </c>
      <c r="I557" s="375" t="str">
        <f t="shared" si="148"/>
        <v>no</v>
      </c>
      <c r="J557" s="562">
        <f t="shared" si="149"/>
        <v>0.47302438947037539</v>
      </c>
      <c r="K557" s="363">
        <f t="shared" si="150"/>
        <v>0.44532074201001631</v>
      </c>
      <c r="L557" s="420"/>
      <c r="N557" s="519"/>
    </row>
    <row r="558" spans="1:14">
      <c r="A558" s="319" t="s">
        <v>89</v>
      </c>
      <c r="B558" s="374">
        <f t="shared" si="141"/>
        <v>6.3546666666666676</v>
      </c>
      <c r="C558" s="375">
        <f t="shared" si="142"/>
        <v>6.35</v>
      </c>
      <c r="D558" s="374">
        <f t="shared" si="143"/>
        <v>13</v>
      </c>
      <c r="E558" s="375">
        <f t="shared" si="144"/>
        <v>12.995333333333331</v>
      </c>
      <c r="F558" s="374">
        <f t="shared" si="145"/>
        <v>13.020733333333332</v>
      </c>
      <c r="G558" s="324" t="str">
        <f t="shared" si="146"/>
        <v>no</v>
      </c>
      <c r="H558" s="374">
        <f t="shared" si="147"/>
        <v>13.630333333333333</v>
      </c>
      <c r="I558" s="375" t="str">
        <f t="shared" si="148"/>
        <v>no</v>
      </c>
      <c r="J558" s="562">
        <f t="shared" si="149"/>
        <v>0.48863694659621409</v>
      </c>
      <c r="K558" s="363">
        <f t="shared" si="150"/>
        <v>0.47478582055096707</v>
      </c>
      <c r="L558" s="420"/>
      <c r="N558" s="519"/>
    </row>
    <row r="559" spans="1:14">
      <c r="A559" s="571" t="s">
        <v>245</v>
      </c>
      <c r="B559" s="533">
        <f t="shared" si="141"/>
        <v>6.2974999999999994</v>
      </c>
      <c r="C559" s="385">
        <f t="shared" si="142"/>
        <v>6.2991999999999999</v>
      </c>
      <c r="D559" s="533">
        <f t="shared" si="143"/>
        <v>13</v>
      </c>
      <c r="E559" s="385">
        <f t="shared" si="144"/>
        <v>13.0017</v>
      </c>
      <c r="F559" s="533">
        <f t="shared" si="145"/>
        <v>13.027100000000001</v>
      </c>
      <c r="G559" s="368" t="str">
        <f t="shared" si="146"/>
        <v>no</v>
      </c>
      <c r="H559" s="533">
        <f t="shared" si="147"/>
        <v>13.636700000000001</v>
      </c>
      <c r="I559" s="385" t="str">
        <f t="shared" si="148"/>
        <v>no</v>
      </c>
      <c r="J559" s="563">
        <f t="shared" si="149"/>
        <v>0.48449048970519243</v>
      </c>
      <c r="K559" s="364">
        <f t="shared" si="150"/>
        <v>0.47064614627317969</v>
      </c>
      <c r="L559" s="420"/>
      <c r="N559" s="519"/>
    </row>
    <row r="560" spans="1:14" ht="15.75" thickBot="1">
      <c r="A560" s="328"/>
      <c r="B560" s="330"/>
      <c r="C560" s="330"/>
      <c r="D560" s="330"/>
      <c r="E560" s="330"/>
      <c r="F560" s="573"/>
      <c r="G560" s="330"/>
      <c r="H560" s="330"/>
      <c r="I560" s="330"/>
      <c r="J560" s="330"/>
      <c r="K560" s="330"/>
      <c r="L560" s="572"/>
      <c r="N560" s="519"/>
    </row>
    <row r="561" spans="1:14">
      <c r="A561" s="522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5"/>
      <c r="N561" s="519"/>
    </row>
    <row r="562" spans="1:14">
      <c r="A562" s="525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5"/>
      <c r="N562" s="524"/>
    </row>
    <row r="563" spans="1:14">
      <c r="A563" s="525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5"/>
      <c r="N563" s="524"/>
    </row>
    <row r="564" spans="1:14" ht="26.25">
      <c r="A564" s="566" t="s">
        <v>447</v>
      </c>
      <c r="B564" s="504"/>
      <c r="C564" s="504"/>
      <c r="D564" s="504"/>
      <c r="E564" s="504"/>
      <c r="F564" s="504"/>
      <c r="G564" s="504"/>
      <c r="H564" s="504"/>
      <c r="I564" s="504"/>
      <c r="J564" s="504"/>
      <c r="K564" s="504"/>
      <c r="L564" s="15"/>
      <c r="N564" s="524"/>
    </row>
    <row r="565" spans="1:14" ht="21">
      <c r="A565" s="568" t="s">
        <v>451</v>
      </c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5"/>
      <c r="N565" s="524"/>
    </row>
    <row r="566" spans="1:14" ht="21">
      <c r="A566" s="568" t="s">
        <v>456</v>
      </c>
      <c r="B566" s="11" t="s">
        <v>452</v>
      </c>
      <c r="C566" s="11"/>
      <c r="D566" s="11"/>
      <c r="E566" s="11"/>
      <c r="F566" s="11"/>
      <c r="G566" s="11"/>
      <c r="H566" s="11"/>
      <c r="I566" s="11"/>
      <c r="J566" s="11"/>
      <c r="K566" s="11"/>
      <c r="L566" s="15"/>
      <c r="N566" s="524"/>
    </row>
    <row r="567" spans="1:14" ht="21">
      <c r="A567" s="568"/>
      <c r="B567" s="11" t="s">
        <v>455</v>
      </c>
      <c r="C567" s="11"/>
      <c r="D567" s="11"/>
      <c r="E567" s="11"/>
      <c r="F567" s="11"/>
      <c r="G567" s="11"/>
      <c r="H567" s="11"/>
      <c r="I567" s="11"/>
      <c r="J567" s="11"/>
      <c r="K567" s="11"/>
      <c r="L567" s="15"/>
      <c r="N567" s="524"/>
    </row>
    <row r="568" spans="1:14" ht="21">
      <c r="A568" s="568"/>
      <c r="B568" s="11" t="s">
        <v>453</v>
      </c>
      <c r="C568" s="11"/>
      <c r="D568" s="11"/>
      <c r="E568" s="11"/>
      <c r="F568" s="11"/>
      <c r="G568" s="11"/>
      <c r="H568" s="11"/>
      <c r="I568" s="11"/>
      <c r="J568" s="11"/>
      <c r="K568" s="11"/>
      <c r="L568" s="15"/>
      <c r="N568" s="524"/>
    </row>
    <row r="569" spans="1:14" ht="21">
      <c r="A569" s="568"/>
      <c r="B569" s="11" t="s">
        <v>454</v>
      </c>
      <c r="C569" s="11"/>
      <c r="D569" s="11"/>
      <c r="E569" s="11"/>
      <c r="F569" s="11"/>
      <c r="G569" s="11"/>
      <c r="H569" s="11"/>
      <c r="I569" s="11"/>
      <c r="J569" s="11"/>
      <c r="K569" s="11"/>
      <c r="L569" s="15"/>
      <c r="N569" s="524"/>
    </row>
    <row r="570" spans="1:14" ht="19.5">
      <c r="A570" s="782"/>
      <c r="B570" s="780"/>
      <c r="C570" s="11"/>
      <c r="D570" s="11"/>
      <c r="E570" s="11"/>
      <c r="F570" s="11"/>
      <c r="G570" s="11"/>
      <c r="H570" s="11"/>
      <c r="I570" s="11"/>
      <c r="J570" s="5" t="s">
        <v>457</v>
      </c>
      <c r="K570" s="11"/>
      <c r="L570" s="524"/>
    </row>
    <row r="571" spans="1:14">
      <c r="A571" s="323" t="s">
        <v>246</v>
      </c>
      <c r="B571" s="576" t="s">
        <v>256</v>
      </c>
      <c r="C571" s="577" t="s">
        <v>448</v>
      </c>
      <c r="D571" s="576" t="s">
        <v>449</v>
      </c>
      <c r="E571" s="577" t="s">
        <v>450</v>
      </c>
      <c r="F571" s="576">
        <f>I536</f>
        <v>0</v>
      </c>
      <c r="G571" s="577" t="str">
        <f>J536</f>
        <v>** For nominal Spacers</v>
      </c>
      <c r="H571" s="576" t="s">
        <v>316</v>
      </c>
      <c r="I571" s="379">
        <f>V536</f>
        <v>0</v>
      </c>
      <c r="J571" s="577" t="s">
        <v>271</v>
      </c>
      <c r="K571" s="429" t="s">
        <v>271</v>
      </c>
      <c r="L571" s="524"/>
    </row>
    <row r="572" spans="1:14">
      <c r="A572" s="569"/>
      <c r="B572" s="357" t="s">
        <v>113</v>
      </c>
      <c r="C572" s="342" t="s">
        <v>113</v>
      </c>
      <c r="D572" s="357" t="s">
        <v>113</v>
      </c>
      <c r="E572" s="342" t="s">
        <v>113</v>
      </c>
      <c r="F572" s="357" t="str">
        <f>I537</f>
        <v>Bundle</v>
      </c>
      <c r="G572" s="342" t="str">
        <f>J537</f>
        <v>Slit/Pitch</v>
      </c>
      <c r="H572" s="357" t="s">
        <v>113</v>
      </c>
      <c r="I572" s="393">
        <f>V537</f>
        <v>0</v>
      </c>
      <c r="J572" s="342" t="s">
        <v>307</v>
      </c>
      <c r="K572" s="393" t="s">
        <v>309</v>
      </c>
      <c r="L572" s="524"/>
    </row>
    <row r="573" spans="1:14">
      <c r="A573" s="525"/>
      <c r="B573" s="525"/>
      <c r="C573" s="11"/>
      <c r="D573" s="11"/>
      <c r="E573" s="11"/>
      <c r="F573" s="11"/>
      <c r="G573" s="11"/>
      <c r="H573" s="11"/>
      <c r="I573" s="11"/>
      <c r="J573" s="15"/>
      <c r="L573" s="524"/>
    </row>
    <row r="574" spans="1:14">
      <c r="A574" s="525" t="str">
        <f t="shared" ref="A574:A593" si="151">A384</f>
        <v>A</v>
      </c>
      <c r="B574" s="375">
        <f>M43</f>
        <v>0.6160000000000001</v>
      </c>
      <c r="C574" s="315"/>
      <c r="D574" s="11"/>
      <c r="E574" s="315"/>
      <c r="F574" s="11"/>
      <c r="G574" s="11"/>
      <c r="H574" s="11"/>
      <c r="I574" s="11"/>
      <c r="J574" s="15"/>
      <c r="L574" s="524"/>
    </row>
    <row r="575" spans="1:14">
      <c r="A575" s="525" t="str">
        <f t="shared" si="151"/>
        <v>As</v>
      </c>
      <c r="B575" s="375">
        <f t="shared" ref="B575:B593" si="152">M44</f>
        <v>0.61517241379310339</v>
      </c>
      <c r="C575" s="315"/>
      <c r="D575" s="11"/>
      <c r="E575" s="315"/>
      <c r="F575" s="11"/>
      <c r="G575" s="11"/>
      <c r="H575" s="11"/>
      <c r="I575" s="11"/>
      <c r="J575" s="15"/>
      <c r="L575" s="524"/>
    </row>
    <row r="576" spans="1:14">
      <c r="A576" s="525" t="str">
        <f t="shared" si="151"/>
        <v>B</v>
      </c>
      <c r="B576" s="375">
        <f t="shared" si="152"/>
        <v>0.58287878787878855</v>
      </c>
      <c r="C576" s="315"/>
      <c r="D576" s="11"/>
      <c r="E576" s="315"/>
      <c r="F576" s="11"/>
      <c r="G576" s="11"/>
      <c r="H576" s="11"/>
      <c r="I576" s="11"/>
      <c r="J576" s="15"/>
      <c r="L576" s="524"/>
    </row>
    <row r="577" spans="1:12">
      <c r="A577" s="525" t="str">
        <f t="shared" si="151"/>
        <v>Bs</v>
      </c>
      <c r="B577" s="375">
        <f t="shared" si="152"/>
        <v>0.56895495495495441</v>
      </c>
      <c r="C577" s="315"/>
      <c r="D577" s="11"/>
      <c r="E577" s="315"/>
      <c r="F577" s="11"/>
      <c r="G577" s="11"/>
      <c r="H577" s="11"/>
      <c r="I577" s="11"/>
      <c r="J577" s="15"/>
      <c r="L577" s="524"/>
    </row>
    <row r="578" spans="1:12">
      <c r="A578" s="525" t="str">
        <f t="shared" si="151"/>
        <v>C</v>
      </c>
      <c r="B578" s="375">
        <f t="shared" si="152"/>
        <v>0.68136363636363717</v>
      </c>
      <c r="C578" s="315"/>
      <c r="D578" s="11"/>
      <c r="E578" s="315"/>
      <c r="F578" s="11"/>
      <c r="G578" s="11"/>
      <c r="H578" s="11"/>
      <c r="I578" s="11"/>
      <c r="J578" s="15"/>
      <c r="L578" s="524"/>
    </row>
    <row r="579" spans="1:12">
      <c r="A579" s="525" t="str">
        <f t="shared" si="151"/>
        <v>Cs</v>
      </c>
      <c r="B579" s="375">
        <f t="shared" si="152"/>
        <v>0.66743980343980303</v>
      </c>
      <c r="C579" s="315"/>
      <c r="D579" s="11"/>
      <c r="E579" s="315"/>
      <c r="F579" s="11"/>
      <c r="G579" s="11"/>
      <c r="H579" s="11"/>
      <c r="I579" s="11"/>
      <c r="J579" s="15"/>
      <c r="L579" s="524"/>
    </row>
    <row r="580" spans="1:12">
      <c r="A580" s="525" t="str">
        <f t="shared" si="151"/>
        <v>D</v>
      </c>
      <c r="B580" s="375">
        <f t="shared" si="152"/>
        <v>0.79954545454545534</v>
      </c>
      <c r="C580" s="315"/>
      <c r="D580" s="11"/>
      <c r="E580" s="315"/>
      <c r="F580" s="11"/>
      <c r="G580" s="11"/>
      <c r="H580" s="11"/>
      <c r="I580" s="11"/>
      <c r="J580" s="15"/>
      <c r="L580" s="524"/>
    </row>
    <row r="581" spans="1:12">
      <c r="A581" s="525" t="str">
        <f t="shared" si="151"/>
        <v>E</v>
      </c>
      <c r="B581" s="375">
        <f t="shared" si="152"/>
        <v>0.81350000000000022</v>
      </c>
      <c r="C581" s="315"/>
      <c r="D581" s="11"/>
      <c r="E581" s="315"/>
      <c r="F581" s="11"/>
      <c r="G581" s="11"/>
      <c r="H581" s="11"/>
      <c r="I581" s="11"/>
      <c r="J581" s="15"/>
      <c r="L581" s="524"/>
    </row>
    <row r="582" spans="1:12">
      <c r="A582" s="525" t="str">
        <f t="shared" si="151"/>
        <v>F</v>
      </c>
      <c r="B582" s="375">
        <f t="shared" si="152"/>
        <v>0.85726190476190467</v>
      </c>
      <c r="C582" s="315"/>
      <c r="D582" s="11"/>
      <c r="E582" s="315"/>
      <c r="F582" s="11"/>
      <c r="G582" s="11"/>
      <c r="H582" s="11"/>
      <c r="I582" s="11"/>
      <c r="J582" s="15"/>
      <c r="L582" s="524"/>
    </row>
    <row r="583" spans="1:12">
      <c r="A583" s="525" t="str">
        <f t="shared" si="151"/>
        <v>G</v>
      </c>
      <c r="B583" s="375">
        <f t="shared" si="152"/>
        <v>0.96425997425997634</v>
      </c>
      <c r="C583" s="315"/>
      <c r="D583" s="11"/>
      <c r="E583" s="315"/>
      <c r="F583" s="11"/>
      <c r="G583" s="11"/>
      <c r="H583" s="11"/>
      <c r="I583" s="11"/>
      <c r="J583" s="15"/>
      <c r="L583" s="524"/>
    </row>
    <row r="584" spans="1:12">
      <c r="A584" s="525" t="str">
        <f t="shared" si="151"/>
        <v>Gs</v>
      </c>
      <c r="B584" s="375">
        <f t="shared" si="152"/>
        <v>0.97508403361344531</v>
      </c>
      <c r="C584" s="315"/>
      <c r="D584" s="11"/>
      <c r="E584" s="315"/>
      <c r="F584" s="11"/>
      <c r="G584" s="11"/>
      <c r="H584" s="11"/>
      <c r="I584" s="11"/>
      <c r="J584" s="15"/>
      <c r="L584" s="524"/>
    </row>
    <row r="585" spans="1:12">
      <c r="A585" s="525" t="str">
        <f t="shared" si="151"/>
        <v>H</v>
      </c>
      <c r="B585" s="375">
        <f t="shared" si="152"/>
        <v>1.1427999999999994</v>
      </c>
      <c r="C585" s="315"/>
      <c r="D585" s="11"/>
      <c r="E585" s="315"/>
      <c r="F585" s="11"/>
      <c r="G585" s="11"/>
      <c r="H585" s="11"/>
      <c r="I585" s="11"/>
      <c r="J585" s="15"/>
      <c r="L585" s="524"/>
    </row>
    <row r="586" spans="1:12">
      <c r="A586" s="525" t="str">
        <f t="shared" si="151"/>
        <v>Hs</v>
      </c>
      <c r="B586" s="375">
        <f t="shared" si="152"/>
        <v>1.1402192982456136</v>
      </c>
      <c r="C586" s="315"/>
      <c r="D586" s="11"/>
      <c r="E586" s="315"/>
      <c r="F586" s="11"/>
      <c r="G586" s="11"/>
      <c r="H586" s="11"/>
      <c r="I586" s="11"/>
      <c r="J586" s="15"/>
      <c r="L586" s="524"/>
    </row>
    <row r="587" spans="1:12">
      <c r="A587" s="525" t="str">
        <f t="shared" si="151"/>
        <v>I</v>
      </c>
      <c r="B587" s="375">
        <f t="shared" si="152"/>
        <v>1.2799206349206345</v>
      </c>
      <c r="C587" s="315"/>
      <c r="D587" s="11"/>
      <c r="E587" s="315"/>
      <c r="F587" s="11"/>
      <c r="G587" s="11"/>
      <c r="H587" s="11"/>
      <c r="I587" s="11"/>
      <c r="J587" s="15"/>
      <c r="L587" s="524"/>
    </row>
    <row r="588" spans="1:12">
      <c r="A588" s="525" t="str">
        <f t="shared" si="151"/>
        <v>Is</v>
      </c>
      <c r="B588" s="375">
        <f t="shared" si="152"/>
        <v>1.3178571428571424</v>
      </c>
      <c r="C588" s="315"/>
      <c r="D588" s="11"/>
      <c r="E588" s="315"/>
      <c r="F588" s="11"/>
      <c r="G588" s="11"/>
      <c r="H588" s="11"/>
      <c r="I588" s="11"/>
      <c r="J588" s="15"/>
      <c r="L588" s="524"/>
    </row>
    <row r="589" spans="1:12">
      <c r="A589" s="525" t="str">
        <f t="shared" si="151"/>
        <v>J</v>
      </c>
      <c r="B589" s="375">
        <f t="shared" si="152"/>
        <v>1.7079166666666665</v>
      </c>
      <c r="C589" s="315"/>
      <c r="D589" s="11"/>
      <c r="E589" s="315"/>
      <c r="F589" s="11"/>
      <c r="G589" s="11"/>
      <c r="H589" s="11"/>
      <c r="I589" s="11"/>
      <c r="J589" s="15"/>
      <c r="L589" s="524"/>
    </row>
    <row r="590" spans="1:12">
      <c r="A590" s="525" t="str">
        <f t="shared" si="151"/>
        <v>K</v>
      </c>
      <c r="B590" s="375">
        <f t="shared" si="152"/>
        <v>2.3452083333333338</v>
      </c>
      <c r="C590" s="315"/>
      <c r="D590" s="11"/>
      <c r="E590" s="315"/>
      <c r="F590" s="11"/>
      <c r="G590" s="11"/>
      <c r="H590" s="11"/>
      <c r="I590" s="11"/>
      <c r="J590" s="15"/>
      <c r="L590" s="524"/>
    </row>
    <row r="591" spans="1:12">
      <c r="A591" s="525" t="str">
        <f t="shared" si="151"/>
        <v>L</v>
      </c>
      <c r="B591" s="375">
        <f t="shared" si="152"/>
        <v>3.0760606060606075</v>
      </c>
      <c r="C591" s="315"/>
      <c r="D591" s="11"/>
      <c r="E591" s="315"/>
      <c r="F591" s="11"/>
      <c r="G591" s="11"/>
      <c r="H591" s="11"/>
      <c r="I591" s="11"/>
      <c r="J591" s="15"/>
      <c r="L591" s="524"/>
    </row>
    <row r="592" spans="1:12">
      <c r="A592" s="525" t="str">
        <f t="shared" si="151"/>
        <v>M</v>
      </c>
      <c r="B592" s="375">
        <f t="shared" si="152"/>
        <v>6.3546666666666676</v>
      </c>
      <c r="C592" s="315"/>
      <c r="D592" s="11"/>
      <c r="E592" s="315"/>
      <c r="F592" s="11"/>
      <c r="G592" s="11"/>
      <c r="H592" s="11"/>
      <c r="I592" s="11"/>
      <c r="J592" s="15"/>
      <c r="L592" s="524"/>
    </row>
    <row r="593" spans="1:15">
      <c r="A593" s="525" t="str">
        <f t="shared" si="151"/>
        <v>Ms</v>
      </c>
      <c r="B593" s="375">
        <f t="shared" si="152"/>
        <v>6.2974999999999994</v>
      </c>
      <c r="C593" s="315"/>
      <c r="D593" s="11"/>
      <c r="E593" s="315"/>
      <c r="F593" s="11"/>
      <c r="G593" s="11"/>
      <c r="H593" s="11"/>
      <c r="I593" s="11"/>
      <c r="J593" s="15"/>
      <c r="L593" s="524"/>
    </row>
    <row r="594" spans="1:15">
      <c r="A594" s="525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5"/>
      <c r="N594" s="524"/>
    </row>
    <row r="595" spans="1:15">
      <c r="A595" s="525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5"/>
      <c r="N595" s="524"/>
    </row>
    <row r="596" spans="1:15">
      <c r="A596" s="522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5"/>
      <c r="N596" s="519"/>
    </row>
    <row r="597" spans="1:15">
      <c r="A597" s="519"/>
      <c r="L597" s="538"/>
      <c r="N597" s="519"/>
    </row>
    <row r="598" spans="1:15">
      <c r="A598" s="519"/>
      <c r="L598" s="538"/>
      <c r="N598" s="519"/>
    </row>
    <row r="599" spans="1:15">
      <c r="A599" s="519"/>
      <c r="L599" s="538"/>
      <c r="N599" s="519"/>
    </row>
    <row r="601" spans="1:15" s="447" customFormat="1" ht="15.75" thickBot="1"/>
    <row r="602" spans="1:15" ht="15.75" thickTop="1">
      <c r="A602" s="343"/>
    </row>
    <row r="603" spans="1:15" ht="26.25">
      <c r="A603" s="781" t="s">
        <v>402</v>
      </c>
      <c r="B603" s="781"/>
      <c r="C603" s="781"/>
      <c r="D603" s="781"/>
      <c r="E603" s="781"/>
      <c r="F603" s="781"/>
      <c r="G603" s="781"/>
      <c r="H603" s="781"/>
      <c r="I603" s="781"/>
      <c r="J603" s="781"/>
      <c r="K603" s="781"/>
      <c r="L603" s="781"/>
      <c r="M603" s="781"/>
      <c r="N603" s="781"/>
      <c r="O603" s="427"/>
    </row>
    <row r="604" spans="1:15" ht="26.25">
      <c r="A604" s="427" t="s">
        <v>403</v>
      </c>
      <c r="B604" s="427"/>
      <c r="C604" s="427"/>
      <c r="D604" s="427"/>
      <c r="E604" s="427"/>
      <c r="F604" s="518"/>
    </row>
    <row r="605" spans="1:15">
      <c r="A605" s="343"/>
    </row>
    <row r="606" spans="1:15">
      <c r="A606" s="343"/>
    </row>
    <row r="607" spans="1:15" ht="26.25">
      <c r="A607" s="427" t="s">
        <v>357</v>
      </c>
      <c r="B607" s="427"/>
      <c r="C607" s="427"/>
      <c r="D607" s="427"/>
    </row>
    <row r="608" spans="1:15" s="57" customFormat="1" ht="15.75" thickBot="1">
      <c r="A608" s="126"/>
      <c r="B608" s="126"/>
      <c r="C608" s="126"/>
      <c r="D608" s="126"/>
      <c r="E608" s="126"/>
    </row>
    <row r="609" spans="1:18" s="57" customFormat="1" ht="19.5">
      <c r="A609" s="778" t="s">
        <v>340</v>
      </c>
      <c r="B609" s="778"/>
      <c r="C609" s="392" t="s">
        <v>347</v>
      </c>
      <c r="D609"/>
      <c r="E609"/>
      <c r="J609" s="453" t="s">
        <v>354</v>
      </c>
      <c r="K609" s="454"/>
      <c r="L609" s="454"/>
      <c r="M609" s="455"/>
      <c r="N609" s="455"/>
      <c r="O609" s="455"/>
      <c r="P609" s="456"/>
    </row>
    <row r="610" spans="1:18" s="57" customFormat="1">
      <c r="A610" s="11" t="s">
        <v>246</v>
      </c>
      <c r="B610" s="379" t="s">
        <v>256</v>
      </c>
      <c r="C610" t="s">
        <v>360</v>
      </c>
      <c r="D610" t="s">
        <v>350</v>
      </c>
      <c r="E610" t="s">
        <v>362</v>
      </c>
      <c r="F610" s="3" t="s">
        <v>349</v>
      </c>
      <c r="G610" s="398" t="s">
        <v>355</v>
      </c>
      <c r="H610" s="335" t="s">
        <v>271</v>
      </c>
      <c r="I610" s="11" t="s">
        <v>352</v>
      </c>
      <c r="J610" s="457" t="s">
        <v>360</v>
      </c>
      <c r="K610" s="458" t="s">
        <v>350</v>
      </c>
      <c r="L610" s="458" t="s">
        <v>362</v>
      </c>
      <c r="M610" s="459" t="s">
        <v>349</v>
      </c>
      <c r="N610" s="460" t="s">
        <v>355</v>
      </c>
      <c r="O610" s="460" t="s">
        <v>271</v>
      </c>
      <c r="P610" s="461" t="s">
        <v>352</v>
      </c>
    </row>
    <row r="611" spans="1:18" s="57" customFormat="1">
      <c r="A611" s="32"/>
      <c r="B611" s="393" t="s">
        <v>113</v>
      </c>
      <c r="C611" s="2" t="s">
        <v>113</v>
      </c>
      <c r="D611" s="32" t="s">
        <v>113</v>
      </c>
      <c r="E611" s="32"/>
      <c r="F611" s="341" t="s">
        <v>113</v>
      </c>
      <c r="G611" s="342" t="s">
        <v>356</v>
      </c>
      <c r="H611" s="342" t="s">
        <v>351</v>
      </c>
      <c r="I611" s="32" t="s">
        <v>353</v>
      </c>
      <c r="J611" s="462" t="s">
        <v>113</v>
      </c>
      <c r="K611" s="463" t="s">
        <v>113</v>
      </c>
      <c r="L611" s="463" t="s">
        <v>113</v>
      </c>
      <c r="M611" s="464" t="s">
        <v>113</v>
      </c>
      <c r="N611" s="465" t="s">
        <v>356</v>
      </c>
      <c r="O611" s="465" t="s">
        <v>351</v>
      </c>
      <c r="P611" s="466" t="s">
        <v>353</v>
      </c>
    </row>
    <row r="612" spans="1:18" s="57" customFormat="1">
      <c r="A612" s="11"/>
      <c r="B612" s="379"/>
      <c r="F612" s="3"/>
      <c r="H612" s="66"/>
      <c r="I612" s="97"/>
      <c r="J612" s="467"/>
      <c r="K612" s="468"/>
      <c r="L612" s="468"/>
      <c r="M612" s="469"/>
      <c r="N612" s="468"/>
      <c r="O612" s="468"/>
      <c r="P612" s="470"/>
    </row>
    <row r="613" spans="1:18" s="57" customFormat="1">
      <c r="A613" s="222" t="s">
        <v>6</v>
      </c>
      <c r="B613" s="439">
        <f>M43</f>
        <v>0.6160000000000001</v>
      </c>
      <c r="C613" s="445">
        <f>D646</f>
        <v>0.58673999999999993</v>
      </c>
      <c r="D613" s="445">
        <f>L646</f>
        <v>12.289419999999998</v>
      </c>
      <c r="E613" s="445">
        <f>W646</f>
        <v>12.949819999999997</v>
      </c>
      <c r="F613" s="391">
        <f>M646</f>
        <v>-0.71058000000000199</v>
      </c>
      <c r="G613" s="445" t="str">
        <f>V646</f>
        <v>no</v>
      </c>
      <c r="H613" s="346">
        <f t="shared" ref="H613:H632" si="153">O646</f>
        <v>0.38576862380123822</v>
      </c>
      <c r="I613" s="451">
        <f>Y646</f>
        <v>0.61451201638323949</v>
      </c>
      <c r="J613" s="471">
        <f>D678</f>
        <v>0.59943999999999997</v>
      </c>
      <c r="K613" s="472">
        <f>L678</f>
        <v>12.619619999999996</v>
      </c>
      <c r="L613" s="472">
        <f>W678</f>
        <v>12.949819999999997</v>
      </c>
      <c r="M613" s="473">
        <f>M678</f>
        <v>-0.38038000000000416</v>
      </c>
      <c r="N613" s="474" t="str">
        <f>V678</f>
        <v>no</v>
      </c>
      <c r="O613" s="472">
        <f>O646</f>
        <v>0.38576862380123822</v>
      </c>
      <c r="P613" s="475">
        <f>Y678</f>
        <v>0.61451201638323949</v>
      </c>
    </row>
    <row r="614" spans="1:18" s="57" customFormat="1">
      <c r="A614" s="222" t="s">
        <v>164</v>
      </c>
      <c r="B614" s="439">
        <f t="shared" ref="B614:B632" si="154">M44</f>
        <v>0.61517241379310339</v>
      </c>
      <c r="C614" s="445">
        <f t="shared" ref="C614:C632" si="155">D647</f>
        <v>0.58673999999999993</v>
      </c>
      <c r="D614" s="445">
        <f t="shared" ref="D614:D632" si="156">L647</f>
        <v>12.300178620689655</v>
      </c>
      <c r="E614" s="445">
        <f t="shared" ref="E614:E632" si="157">W647</f>
        <v>12.960578620689656</v>
      </c>
      <c r="F614" s="391">
        <f t="shared" ref="F614:F632" si="158">M647</f>
        <v>-0.69982137931034494</v>
      </c>
      <c r="G614" s="445" t="str">
        <f t="shared" ref="G614:G632" si="159">V647</f>
        <v>no</v>
      </c>
      <c r="H614" s="346">
        <f t="shared" si="153"/>
        <v>0.38544592953628787</v>
      </c>
      <c r="I614" s="451">
        <f t="shared" ref="I614:I632" si="160">Y647</f>
        <v>0.61400190785436937</v>
      </c>
      <c r="J614" s="471">
        <f t="shared" ref="J614:J632" si="161">D679</f>
        <v>0.59943999999999997</v>
      </c>
      <c r="K614" s="472">
        <f t="shared" ref="K614:K632" si="162">L679</f>
        <v>12.630378620689655</v>
      </c>
      <c r="L614" s="472">
        <f t="shared" ref="L614:L631" si="163">W679</f>
        <v>12.960578620689656</v>
      </c>
      <c r="M614" s="473">
        <f t="shared" ref="M614:M632" si="164">M679</f>
        <v>-0.36962137931034533</v>
      </c>
      <c r="N614" s="474" t="str">
        <f t="shared" ref="N614:N632" si="165">V679</f>
        <v>no</v>
      </c>
      <c r="O614" s="472">
        <f t="shared" ref="O614:O632" si="166">O647</f>
        <v>0.38544592953628787</v>
      </c>
      <c r="P614" s="475">
        <f t="shared" ref="P614:P632" si="167">Y679</f>
        <v>0.61400190785436937</v>
      </c>
      <c r="Q614" s="527">
        <v>41177</v>
      </c>
      <c r="R614" t="s">
        <v>363</v>
      </c>
    </row>
    <row r="615" spans="1:18" s="57" customFormat="1">
      <c r="A615" s="222" t="s">
        <v>9</v>
      </c>
      <c r="B615" s="439">
        <f t="shared" si="154"/>
        <v>0.58287878787878855</v>
      </c>
      <c r="C615" s="445">
        <f t="shared" si="155"/>
        <v>0.56388000000000005</v>
      </c>
      <c r="D615" s="445">
        <f t="shared" si="156"/>
        <v>12.467214545454535</v>
      </c>
      <c r="E615" s="445">
        <f t="shared" si="157"/>
        <v>13.076814545454535</v>
      </c>
      <c r="F615" s="391">
        <f t="shared" si="158"/>
        <v>-0.53278545454546489</v>
      </c>
      <c r="G615" s="445" t="str">
        <f t="shared" si="159"/>
        <v>no</v>
      </c>
      <c r="H615" s="346">
        <f t="shared" si="153"/>
        <v>0.33075972874539455</v>
      </c>
      <c r="I615" s="451">
        <f t="shared" si="160"/>
        <v>0.54075554680539428</v>
      </c>
      <c r="J615" s="471">
        <f t="shared" si="161"/>
        <v>0.57657999999999998</v>
      </c>
      <c r="K615" s="472">
        <f t="shared" si="162"/>
        <v>12.772014545454537</v>
      </c>
      <c r="L615" s="472">
        <f t="shared" si="163"/>
        <v>13.076814545454535</v>
      </c>
      <c r="M615" s="473">
        <f t="shared" si="164"/>
        <v>-0.22798545454546293</v>
      </c>
      <c r="N615" s="474" t="str">
        <f t="shared" si="165"/>
        <v>no</v>
      </c>
      <c r="O615" s="472">
        <f t="shared" si="166"/>
        <v>0.33075972874539455</v>
      </c>
      <c r="P615" s="475">
        <f t="shared" si="167"/>
        <v>0.54075554680539428</v>
      </c>
      <c r="Q615" s="527">
        <v>41193</v>
      </c>
      <c r="R615" t="s">
        <v>406</v>
      </c>
    </row>
    <row r="616" spans="1:18" s="57" customFormat="1">
      <c r="A616" s="222" t="s">
        <v>165</v>
      </c>
      <c r="B616" s="439">
        <f t="shared" si="154"/>
        <v>0.56895495495495441</v>
      </c>
      <c r="C616" s="445">
        <f t="shared" si="155"/>
        <v>0.55118</v>
      </c>
      <c r="D616" s="445">
        <f t="shared" si="156"/>
        <v>12.481900540540545</v>
      </c>
      <c r="E616" s="445">
        <f t="shared" si="157"/>
        <v>13.091500540540547</v>
      </c>
      <c r="F616" s="391">
        <f t="shared" si="158"/>
        <v>-0.51809945945945479</v>
      </c>
      <c r="G616" s="445" t="str">
        <f t="shared" si="159"/>
        <v>no</v>
      </c>
      <c r="H616" s="346">
        <f t="shared" si="153"/>
        <v>0.3189930739049015</v>
      </c>
      <c r="I616" s="451">
        <f t="shared" si="160"/>
        <v>0.52850778858955128</v>
      </c>
      <c r="J616" s="471">
        <f t="shared" si="161"/>
        <v>0.56388000000000005</v>
      </c>
      <c r="K616" s="472">
        <f t="shared" si="162"/>
        <v>12.786700540540547</v>
      </c>
      <c r="L616" s="472">
        <f t="shared" si="163"/>
        <v>13.091500540540547</v>
      </c>
      <c r="M616" s="473">
        <f t="shared" si="164"/>
        <v>-0.21329945945945283</v>
      </c>
      <c r="N616" s="474" t="str">
        <f t="shared" si="165"/>
        <v>no</v>
      </c>
      <c r="O616" s="472">
        <f t="shared" si="166"/>
        <v>0.3189930739049015</v>
      </c>
      <c r="P616" s="475">
        <f t="shared" si="167"/>
        <v>0.52850778858955128</v>
      </c>
    </row>
    <row r="617" spans="1:18" s="57" customFormat="1">
      <c r="A617" s="222" t="s">
        <v>11</v>
      </c>
      <c r="B617" s="439">
        <f t="shared" si="154"/>
        <v>0.68136363636363717</v>
      </c>
      <c r="C617" s="445">
        <f t="shared" si="155"/>
        <v>0.66039999999999999</v>
      </c>
      <c r="D617" s="445">
        <f t="shared" si="156"/>
        <v>12.489999999999991</v>
      </c>
      <c r="E617" s="445">
        <f t="shared" si="157"/>
        <v>13.048799999999989</v>
      </c>
      <c r="F617" s="391">
        <f t="shared" si="158"/>
        <v>-0.51000000000000867</v>
      </c>
      <c r="G617" s="445" t="str">
        <f t="shared" si="159"/>
        <v>no</v>
      </c>
      <c r="H617" s="346">
        <f t="shared" si="153"/>
        <v>0.38133333333333347</v>
      </c>
      <c r="I617" s="451">
        <f t="shared" si="160"/>
        <v>0.57812212617252201</v>
      </c>
      <c r="J617" s="471">
        <f t="shared" si="161"/>
        <v>0.67818000000000001</v>
      </c>
      <c r="K617" s="472">
        <f t="shared" si="162"/>
        <v>12.825279999999992</v>
      </c>
      <c r="L617" s="472">
        <f t="shared" si="163"/>
        <v>13.104679999999993</v>
      </c>
      <c r="M617" s="473">
        <f t="shared" si="164"/>
        <v>-0.17472000000000776</v>
      </c>
      <c r="N617" s="474" t="str">
        <f t="shared" si="165"/>
        <v>no</v>
      </c>
      <c r="O617" s="472">
        <f t="shared" si="166"/>
        <v>0.38133333333333347</v>
      </c>
      <c r="P617" s="475">
        <f t="shared" si="167"/>
        <v>0.57992106636713026</v>
      </c>
    </row>
    <row r="618" spans="1:18" s="57" customFormat="1">
      <c r="A618" s="222" t="s">
        <v>226</v>
      </c>
      <c r="B618" s="439">
        <f t="shared" si="154"/>
        <v>0.66743980343980303</v>
      </c>
      <c r="C618" s="445">
        <f t="shared" si="155"/>
        <v>0.64769999999999994</v>
      </c>
      <c r="D618" s="445">
        <f t="shared" si="156"/>
        <v>12.503462162162165</v>
      </c>
      <c r="E618" s="445">
        <f t="shared" si="157"/>
        <v>13.062262162162167</v>
      </c>
      <c r="F618" s="391">
        <f t="shared" si="158"/>
        <v>-0.49653783783783467</v>
      </c>
      <c r="G618" s="445" t="str">
        <f t="shared" si="159"/>
        <v>no</v>
      </c>
      <c r="H618" s="346">
        <f t="shared" si="153"/>
        <v>0.37066799930485356</v>
      </c>
      <c r="I618" s="451">
        <f t="shared" si="160"/>
        <v>0.56683137331661204</v>
      </c>
      <c r="J618" s="471">
        <f t="shared" si="161"/>
        <v>0.66547999999999996</v>
      </c>
      <c r="K618" s="472">
        <f t="shared" si="162"/>
        <v>12.83874216216217</v>
      </c>
      <c r="L618" s="472">
        <f t="shared" si="163"/>
        <v>13.118142162162167</v>
      </c>
      <c r="M618" s="473">
        <f t="shared" si="164"/>
        <v>-0.16125783783783021</v>
      </c>
      <c r="N618" s="474" t="str">
        <f t="shared" si="165"/>
        <v>no</v>
      </c>
      <c r="O618" s="472">
        <f t="shared" si="166"/>
        <v>0.37066799930485356</v>
      </c>
      <c r="P618" s="475">
        <f t="shared" si="167"/>
        <v>0.56867656317351767</v>
      </c>
    </row>
    <row r="619" spans="1:18" s="57" customFormat="1">
      <c r="A619" s="398" t="s">
        <v>13</v>
      </c>
      <c r="B619" s="439">
        <f t="shared" si="154"/>
        <v>0.79954545454545534</v>
      </c>
      <c r="C619" s="445">
        <f t="shared" si="155"/>
        <v>0.7619999999999999</v>
      </c>
      <c r="D619" s="445">
        <f t="shared" si="156"/>
        <v>12.370545454545447</v>
      </c>
      <c r="E619" s="445">
        <f t="shared" si="157"/>
        <v>12.878545454545447</v>
      </c>
      <c r="F619" s="391">
        <f t="shared" si="158"/>
        <v>-0.62945454545455348</v>
      </c>
      <c r="G619" s="445" t="str">
        <f t="shared" si="159"/>
        <v>no</v>
      </c>
      <c r="H619" s="346">
        <f t="shared" si="153"/>
        <v>0.42465386680131473</v>
      </c>
      <c r="I619" s="451">
        <f t="shared" si="160"/>
        <v>0.61140444996611731</v>
      </c>
      <c r="J619" s="471">
        <f t="shared" si="161"/>
        <v>0.78739999999999999</v>
      </c>
      <c r="K619" s="472">
        <f t="shared" si="162"/>
        <v>12.751545454545447</v>
      </c>
      <c r="L619" s="472">
        <f t="shared" si="163"/>
        <v>13.005545454545446</v>
      </c>
      <c r="M619" s="473">
        <f t="shared" si="164"/>
        <v>-0.24845454545455326</v>
      </c>
      <c r="N619" s="474" t="str">
        <f t="shared" si="165"/>
        <v>no</v>
      </c>
      <c r="O619" s="472">
        <f t="shared" si="166"/>
        <v>0.42465386680131473</v>
      </c>
      <c r="P619" s="475">
        <f t="shared" si="167"/>
        <v>0.61519911086879053</v>
      </c>
    </row>
    <row r="620" spans="1:18" s="57" customFormat="1">
      <c r="A620" s="398" t="s">
        <v>15</v>
      </c>
      <c r="B620" s="439">
        <f t="shared" si="154"/>
        <v>0.81350000000000022</v>
      </c>
      <c r="C620" s="445">
        <f t="shared" si="155"/>
        <v>0.78739999999999999</v>
      </c>
      <c r="D620" s="445">
        <f t="shared" si="156"/>
        <v>12.536499999999997</v>
      </c>
      <c r="E620" s="445">
        <f t="shared" si="157"/>
        <v>12.993699999999997</v>
      </c>
      <c r="F620" s="391">
        <f t="shared" si="158"/>
        <v>-0.46350000000000335</v>
      </c>
      <c r="G620" s="445" t="str">
        <f t="shared" si="159"/>
        <v>no</v>
      </c>
      <c r="H620" s="346">
        <f t="shared" si="153"/>
        <v>0.39387900891077943</v>
      </c>
      <c r="I620" s="451">
        <f t="shared" si="160"/>
        <v>0.56298052132956755</v>
      </c>
      <c r="J620" s="471">
        <f t="shared" si="161"/>
        <v>0.8051799999999999</v>
      </c>
      <c r="K620" s="472">
        <f t="shared" si="162"/>
        <v>12.810819999999998</v>
      </c>
      <c r="L620" s="472">
        <f t="shared" si="163"/>
        <v>13.039419999999996</v>
      </c>
      <c r="M620" s="473">
        <f t="shared" si="164"/>
        <v>-0.18918000000000212</v>
      </c>
      <c r="N620" s="474" t="str">
        <f t="shared" si="165"/>
        <v>no</v>
      </c>
      <c r="O620" s="472">
        <f t="shared" si="166"/>
        <v>0.39387900891077943</v>
      </c>
      <c r="P620" s="475">
        <f t="shared" si="167"/>
        <v>0.56451283876123337</v>
      </c>
    </row>
    <row r="621" spans="1:18" s="57" customFormat="1">
      <c r="A621" s="398" t="s">
        <v>17</v>
      </c>
      <c r="B621" s="439">
        <f t="shared" si="154"/>
        <v>0.85726190476190467</v>
      </c>
      <c r="C621" s="445">
        <f t="shared" si="155"/>
        <v>0.84582000000000002</v>
      </c>
      <c r="D621" s="445">
        <f t="shared" si="156"/>
        <v>12.705264761904763</v>
      </c>
      <c r="E621" s="445">
        <f t="shared" si="157"/>
        <v>13.111664761904763</v>
      </c>
      <c r="F621" s="391">
        <f t="shared" si="158"/>
        <v>-0.29473523809523705</v>
      </c>
      <c r="G621" s="445" t="str">
        <f t="shared" si="159"/>
        <v>no</v>
      </c>
      <c r="H621" s="346">
        <f t="shared" si="153"/>
        <v>0.37878747658159229</v>
      </c>
      <c r="I621" s="451">
        <f t="shared" si="160"/>
        <v>0.5315694175045006</v>
      </c>
      <c r="J621" s="471">
        <f t="shared" si="161"/>
        <v>0.85597999999999996</v>
      </c>
      <c r="K621" s="472">
        <f t="shared" si="162"/>
        <v>12.888144761904762</v>
      </c>
      <c r="L621" s="472">
        <f t="shared" si="163"/>
        <v>13.091344761904763</v>
      </c>
      <c r="M621" s="473">
        <f t="shared" si="164"/>
        <v>-0.11185523809523801</v>
      </c>
      <c r="N621" s="474" t="str">
        <f t="shared" si="165"/>
        <v>no</v>
      </c>
      <c r="O621" s="472">
        <f t="shared" si="166"/>
        <v>0.37878747658159229</v>
      </c>
      <c r="P621" s="475">
        <f t="shared" si="167"/>
        <v>0.53084233334245112</v>
      </c>
    </row>
    <row r="622" spans="1:18" s="57" customFormat="1">
      <c r="A622" s="398" t="s">
        <v>19</v>
      </c>
      <c r="B622" s="439">
        <f t="shared" si="154"/>
        <v>0.96425997425997634</v>
      </c>
      <c r="C622" s="445">
        <f t="shared" si="155"/>
        <v>0.96011999999999997</v>
      </c>
      <c r="D622" s="445">
        <f t="shared" si="156"/>
        <v>12.793220180180166</v>
      </c>
      <c r="E622" s="445">
        <f t="shared" si="157"/>
        <v>13.148820180180167</v>
      </c>
      <c r="F622" s="391">
        <f t="shared" si="158"/>
        <v>-0.20677981981983429</v>
      </c>
      <c r="G622" s="445" t="str">
        <f t="shared" si="159"/>
        <v>no</v>
      </c>
      <c r="H622" s="346">
        <f t="shared" si="153"/>
        <v>0.38483850677230036</v>
      </c>
      <c r="I622" s="451">
        <f t="shared" si="160"/>
        <v>0.52465847927547471</v>
      </c>
      <c r="J622" s="471">
        <f t="shared" si="161"/>
        <v>0.96519999999999995</v>
      </c>
      <c r="K622" s="472">
        <f t="shared" si="162"/>
        <v>12.917680180180167</v>
      </c>
      <c r="L622" s="472">
        <f t="shared" si="163"/>
        <v>13.095480180180164</v>
      </c>
      <c r="M622" s="473">
        <f t="shared" si="164"/>
        <v>-8.2319819819833384E-2</v>
      </c>
      <c r="N622" s="474" t="str">
        <f t="shared" si="165"/>
        <v>no</v>
      </c>
      <c r="O622" s="472">
        <f t="shared" si="166"/>
        <v>0.38483850677230036</v>
      </c>
      <c r="P622" s="475">
        <f t="shared" si="167"/>
        <v>0.52272233670058699</v>
      </c>
    </row>
    <row r="623" spans="1:18" s="57" customFormat="1">
      <c r="A623" s="398" t="s">
        <v>168</v>
      </c>
      <c r="B623" s="439">
        <f t="shared" si="154"/>
        <v>0.97508403361344531</v>
      </c>
      <c r="C623" s="445">
        <f t="shared" si="155"/>
        <v>0.96519999999999995</v>
      </c>
      <c r="D623" s="445">
        <f t="shared" si="156"/>
        <v>12.753011764705882</v>
      </c>
      <c r="E623" s="445">
        <f t="shared" si="157"/>
        <v>13.108611764705882</v>
      </c>
      <c r="F623" s="391">
        <f t="shared" si="158"/>
        <v>-0.2469882352941184</v>
      </c>
      <c r="G623" s="445" t="str">
        <f t="shared" si="159"/>
        <v>no</v>
      </c>
      <c r="H623" s="346">
        <f t="shared" si="153"/>
        <v>0.38842277914818324</v>
      </c>
      <c r="I623" s="451">
        <f t="shared" si="160"/>
        <v>0.52898049957279991</v>
      </c>
      <c r="J623" s="471">
        <f t="shared" si="161"/>
        <v>0.97535999999999989</v>
      </c>
      <c r="K623" s="472">
        <f t="shared" si="162"/>
        <v>12.913031764705881</v>
      </c>
      <c r="L623" s="472">
        <f t="shared" si="163"/>
        <v>13.090831764705882</v>
      </c>
      <c r="M623" s="473">
        <f t="shared" si="164"/>
        <v>-8.6968235294119012E-2</v>
      </c>
      <c r="N623" s="474" t="str">
        <f t="shared" si="165"/>
        <v>no</v>
      </c>
      <c r="O623" s="472">
        <f t="shared" si="166"/>
        <v>0.38842277914818324</v>
      </c>
      <c r="P623" s="475">
        <f t="shared" si="167"/>
        <v>0.5283407597252392</v>
      </c>
    </row>
    <row r="624" spans="1:18" s="57" customFormat="1">
      <c r="A624" s="398" t="s">
        <v>21</v>
      </c>
      <c r="B624" s="439">
        <f t="shared" si="154"/>
        <v>1.1427999999999994</v>
      </c>
      <c r="C624" s="445">
        <f t="shared" si="155"/>
        <v>1.1175999999999999</v>
      </c>
      <c r="D624" s="445">
        <f t="shared" si="156"/>
        <v>12.696400000000001</v>
      </c>
      <c r="E624" s="445">
        <f t="shared" si="157"/>
        <v>13.001200000000001</v>
      </c>
      <c r="F624" s="391">
        <f t="shared" si="158"/>
        <v>-0.30359999999999943</v>
      </c>
      <c r="G624" s="445" t="str">
        <f t="shared" si="159"/>
        <v>no</v>
      </c>
      <c r="H624" s="346">
        <f t="shared" si="153"/>
        <v>0.39693659979983453</v>
      </c>
      <c r="I624" s="451">
        <f t="shared" si="160"/>
        <v>0.5274897701750606</v>
      </c>
      <c r="J624" s="471">
        <f t="shared" si="161"/>
        <v>1.1429999999999998</v>
      </c>
      <c r="K624" s="472">
        <f t="shared" si="162"/>
        <v>12.925000000000001</v>
      </c>
      <c r="L624" s="472">
        <f t="shared" si="163"/>
        <v>13.077400000000003</v>
      </c>
      <c r="M624" s="473">
        <f t="shared" si="164"/>
        <v>-7.4999999999999289E-2</v>
      </c>
      <c r="N624" s="474" t="str">
        <f t="shared" si="165"/>
        <v>no</v>
      </c>
      <c r="O624" s="472">
        <f t="shared" si="166"/>
        <v>0.39693659979983453</v>
      </c>
      <c r="P624" s="475">
        <f t="shared" si="167"/>
        <v>0.53024301466652379</v>
      </c>
    </row>
    <row r="625" spans="1:16" s="57" customFormat="1">
      <c r="A625" s="398" t="s">
        <v>243</v>
      </c>
      <c r="B625" s="439">
        <f t="shared" si="154"/>
        <v>1.1402192982456136</v>
      </c>
      <c r="C625" s="445">
        <f t="shared" si="155"/>
        <v>1.1429999999999998</v>
      </c>
      <c r="D625" s="445">
        <f t="shared" si="156"/>
        <v>12.864284210526318</v>
      </c>
      <c r="E625" s="445">
        <f t="shared" si="157"/>
        <v>13.169084210526318</v>
      </c>
      <c r="F625" s="391">
        <f t="shared" si="158"/>
        <v>-0.13571578947368224</v>
      </c>
      <c r="G625" s="445" t="str">
        <f t="shared" si="159"/>
        <v>no</v>
      </c>
      <c r="H625" s="346">
        <f t="shared" si="153"/>
        <v>0.40234920524980067</v>
      </c>
      <c r="I625" s="451">
        <f t="shared" si="160"/>
        <v>0.53233770001990288</v>
      </c>
      <c r="J625" s="471">
        <f t="shared" si="161"/>
        <v>1.14046</v>
      </c>
      <c r="K625" s="472">
        <f t="shared" si="162"/>
        <v>12.925244210526319</v>
      </c>
      <c r="L625" s="472">
        <f t="shared" si="163"/>
        <v>13.077644210526316</v>
      </c>
      <c r="M625" s="473">
        <f t="shared" si="164"/>
        <v>-7.4755789473680778E-2</v>
      </c>
      <c r="N625" s="474" t="str">
        <f t="shared" si="165"/>
        <v>no</v>
      </c>
      <c r="O625" s="472">
        <f t="shared" si="166"/>
        <v>0.40234920524980067</v>
      </c>
      <c r="P625" s="475">
        <f t="shared" si="167"/>
        <v>0.52906776546427725</v>
      </c>
    </row>
    <row r="626" spans="1:16" s="57" customFormat="1">
      <c r="A626" s="398" t="s">
        <v>22</v>
      </c>
      <c r="B626" s="439">
        <f t="shared" si="154"/>
        <v>1.2799206349206345</v>
      </c>
      <c r="C626" s="445">
        <f t="shared" si="155"/>
        <v>1.27</v>
      </c>
      <c r="D626" s="445">
        <f t="shared" si="156"/>
        <v>12.823396825396829</v>
      </c>
      <c r="E626" s="445">
        <f t="shared" si="157"/>
        <v>13.077396825396828</v>
      </c>
      <c r="F626" s="391">
        <f t="shared" si="158"/>
        <v>-0.1766031746031711</v>
      </c>
      <c r="G626" s="445" t="str">
        <f t="shared" si="159"/>
        <v>no</v>
      </c>
      <c r="H626" s="346">
        <f t="shared" si="153"/>
        <v>0.37837654259279019</v>
      </c>
      <c r="I626" s="451">
        <f t="shared" si="160"/>
        <v>0.49528205700857891</v>
      </c>
      <c r="J626" s="471">
        <f t="shared" si="161"/>
        <v>1.28016</v>
      </c>
      <c r="K626" s="472">
        <f t="shared" si="162"/>
        <v>12.937696825396827</v>
      </c>
      <c r="L626" s="472">
        <f t="shared" si="163"/>
        <v>13.06469682539683</v>
      </c>
      <c r="M626" s="473">
        <f t="shared" si="164"/>
        <v>-6.2303174603172806E-2</v>
      </c>
      <c r="N626" s="474" t="str">
        <f t="shared" si="165"/>
        <v>no</v>
      </c>
      <c r="O626" s="472">
        <f t="shared" si="166"/>
        <v>0.37837654259279019</v>
      </c>
      <c r="P626" s="475">
        <f t="shared" si="167"/>
        <v>0.49479142810523291</v>
      </c>
    </row>
    <row r="627" spans="1:16" s="57" customFormat="1">
      <c r="A627" s="398" t="s">
        <v>244</v>
      </c>
      <c r="B627" s="439">
        <f t="shared" si="154"/>
        <v>1.3178571428571424</v>
      </c>
      <c r="C627" s="445">
        <f t="shared" si="155"/>
        <v>1.3208</v>
      </c>
      <c r="D627" s="445">
        <f t="shared" si="156"/>
        <v>12.887714285714287</v>
      </c>
      <c r="E627" s="445">
        <f t="shared" si="157"/>
        <v>13.141714285714288</v>
      </c>
      <c r="F627" s="391">
        <f t="shared" si="158"/>
        <v>-0.11228571428571321</v>
      </c>
      <c r="G627" s="445" t="str">
        <f t="shared" si="159"/>
        <v>no</v>
      </c>
      <c r="H627" s="346">
        <f t="shared" si="153"/>
        <v>0.3932140634033629</v>
      </c>
      <c r="I627" s="451">
        <f t="shared" si="160"/>
        <v>0.5121858422471518</v>
      </c>
      <c r="J627" s="471">
        <f t="shared" si="161"/>
        <v>1.31826</v>
      </c>
      <c r="K627" s="472">
        <f t="shared" si="162"/>
        <v>12.938514285714289</v>
      </c>
      <c r="L627" s="472">
        <f t="shared" si="163"/>
        <v>13.065514285714288</v>
      </c>
      <c r="M627" s="473">
        <f t="shared" si="164"/>
        <v>-6.1485714285710813E-2</v>
      </c>
      <c r="N627" s="474" t="str">
        <f t="shared" si="165"/>
        <v>no</v>
      </c>
      <c r="O627" s="472">
        <f t="shared" si="166"/>
        <v>0.3932140634033629</v>
      </c>
      <c r="P627" s="475">
        <f t="shared" si="167"/>
        <v>0.50934083836839827</v>
      </c>
    </row>
    <row r="628" spans="1:16" s="57" customFormat="1">
      <c r="A628" s="398" t="s">
        <v>24</v>
      </c>
      <c r="B628" s="439">
        <f t="shared" si="154"/>
        <v>1.7079166666666665</v>
      </c>
      <c r="C628" s="445">
        <f t="shared" si="155"/>
        <v>1.7018</v>
      </c>
      <c r="D628" s="445">
        <f t="shared" si="156"/>
        <v>12.873933333333333</v>
      </c>
      <c r="E628" s="445">
        <f t="shared" si="157"/>
        <v>13.077133333333334</v>
      </c>
      <c r="F628" s="391">
        <f t="shared" si="158"/>
        <v>-0.12606666666666655</v>
      </c>
      <c r="G628" s="445" t="str">
        <f t="shared" si="159"/>
        <v>no</v>
      </c>
      <c r="H628" s="346">
        <f t="shared" si="153"/>
        <v>0.41137201896863757</v>
      </c>
      <c r="I628" s="451">
        <f t="shared" si="160"/>
        <v>0.52831150557971418</v>
      </c>
      <c r="J628" s="471">
        <f t="shared" si="161"/>
        <v>1.7068799999999997</v>
      </c>
      <c r="K628" s="472">
        <f t="shared" si="162"/>
        <v>12.945053333333334</v>
      </c>
      <c r="L628" s="472">
        <f t="shared" si="163"/>
        <v>13.046653333333333</v>
      </c>
      <c r="M628" s="473">
        <f t="shared" si="164"/>
        <v>-5.4946666666666033E-2</v>
      </c>
      <c r="N628" s="474" t="str">
        <f t="shared" si="165"/>
        <v>no</v>
      </c>
      <c r="O628" s="472">
        <f t="shared" si="166"/>
        <v>0.41137201896863757</v>
      </c>
      <c r="P628" s="475">
        <f t="shared" si="167"/>
        <v>0.52720953215077371</v>
      </c>
    </row>
    <row r="629" spans="1:16" s="57" customFormat="1">
      <c r="A629" s="398" t="s">
        <v>26</v>
      </c>
      <c r="B629" s="439">
        <f t="shared" si="154"/>
        <v>2.3452083333333338</v>
      </c>
      <c r="C629" s="445">
        <f t="shared" si="155"/>
        <v>2.3367999999999998</v>
      </c>
      <c r="D629" s="445">
        <f t="shared" si="156"/>
        <v>12.898574999999997</v>
      </c>
      <c r="E629" s="445">
        <f t="shared" si="157"/>
        <v>13.050974999999998</v>
      </c>
      <c r="F629" s="391">
        <f t="shared" si="158"/>
        <v>-0.10142500000000254</v>
      </c>
      <c r="G629" s="445" t="str">
        <f t="shared" si="159"/>
        <v>no</v>
      </c>
      <c r="H629" s="346">
        <f t="shared" si="153"/>
        <v>0.42039516830238055</v>
      </c>
      <c r="I629" s="451">
        <f t="shared" si="160"/>
        <v>0.54299391424778609</v>
      </c>
      <c r="J629" s="471">
        <f t="shared" si="161"/>
        <v>2.3444199999999995</v>
      </c>
      <c r="K629" s="472">
        <f t="shared" si="162"/>
        <v>12.959534999999997</v>
      </c>
      <c r="L629" s="472">
        <f t="shared" si="163"/>
        <v>13.035734999999995</v>
      </c>
      <c r="M629" s="473">
        <f t="shared" si="164"/>
        <v>-4.046500000000286E-2</v>
      </c>
      <c r="N629" s="474" t="str">
        <f t="shared" si="165"/>
        <v>no</v>
      </c>
      <c r="O629" s="472">
        <f t="shared" si="166"/>
        <v>0.42039516830238055</v>
      </c>
      <c r="P629" s="475">
        <f t="shared" si="167"/>
        <v>0.54245963116003826</v>
      </c>
    </row>
    <row r="630" spans="1:16" s="57" customFormat="1">
      <c r="A630" s="398" t="s">
        <v>239</v>
      </c>
      <c r="B630" s="439">
        <f t="shared" si="154"/>
        <v>3.0760606060606075</v>
      </c>
      <c r="C630" s="445">
        <f t="shared" si="155"/>
        <v>3.0733999999999999</v>
      </c>
      <c r="D630" s="445">
        <f t="shared" si="156"/>
        <v>12.943878787878784</v>
      </c>
      <c r="E630" s="445">
        <f t="shared" si="157"/>
        <v>13.045478787878785</v>
      </c>
      <c r="F630" s="391">
        <f t="shared" si="158"/>
        <v>-5.6121212121215791E-2</v>
      </c>
      <c r="G630" s="445" t="str">
        <f t="shared" si="159"/>
        <v>no</v>
      </c>
      <c r="H630" s="346">
        <f t="shared" si="153"/>
        <v>0.3586820583174794</v>
      </c>
      <c r="I630" s="451">
        <f t="shared" si="160"/>
        <v>0.47507646907973233</v>
      </c>
      <c r="J630" s="471">
        <f t="shared" si="161"/>
        <v>3.0759399999999997</v>
      </c>
      <c r="K630" s="472">
        <f t="shared" si="162"/>
        <v>12.974358787878785</v>
      </c>
      <c r="L630" s="472">
        <f t="shared" si="163"/>
        <v>13.025158787878784</v>
      </c>
      <c r="M630" s="473">
        <f t="shared" si="164"/>
        <v>-2.5641212121215062E-2</v>
      </c>
      <c r="N630" s="474" t="str">
        <f t="shared" si="165"/>
        <v>no</v>
      </c>
      <c r="O630" s="472">
        <f t="shared" si="166"/>
        <v>0.3586820583174794</v>
      </c>
      <c r="P630" s="475">
        <f t="shared" si="167"/>
        <v>0.4742575580536168</v>
      </c>
    </row>
    <row r="631" spans="1:16" s="57" customFormat="1">
      <c r="A631" s="398" t="s">
        <v>89</v>
      </c>
      <c r="B631" s="439">
        <f t="shared" si="154"/>
        <v>6.3546666666666676</v>
      </c>
      <c r="C631" s="445">
        <f t="shared" si="155"/>
        <v>6.3245999999999993</v>
      </c>
      <c r="D631" s="445">
        <f t="shared" si="156"/>
        <v>12.944533333333332</v>
      </c>
      <c r="E631" s="445">
        <f t="shared" si="157"/>
        <v>12.995333333333331</v>
      </c>
      <c r="F631" s="391">
        <f t="shared" si="158"/>
        <v>-5.5466666666667663E-2</v>
      </c>
      <c r="G631" s="445" t="str">
        <f t="shared" si="159"/>
        <v>no</v>
      </c>
      <c r="H631" s="346">
        <f t="shared" si="153"/>
        <v>0.45307695762979172</v>
      </c>
      <c r="I631" s="451">
        <f t="shared" si="160"/>
        <v>0.48863694659621409</v>
      </c>
      <c r="J631" s="471">
        <f t="shared" si="161"/>
        <v>6.3550799999999992</v>
      </c>
      <c r="K631" s="472">
        <f t="shared" si="162"/>
        <v>12.987713333333332</v>
      </c>
      <c r="L631" s="472">
        <f t="shared" si="163"/>
        <v>13.013113333333331</v>
      </c>
      <c r="M631" s="473">
        <f t="shared" si="164"/>
        <v>-1.2286666666668111E-2</v>
      </c>
      <c r="N631" s="474" t="str">
        <f t="shared" si="165"/>
        <v>no</v>
      </c>
      <c r="O631" s="472">
        <f t="shared" si="166"/>
        <v>0.45307695762979172</v>
      </c>
      <c r="P631" s="475">
        <f t="shared" si="167"/>
        <v>0.48933562913717288</v>
      </c>
    </row>
    <row r="632" spans="1:16" s="57" customFormat="1">
      <c r="A632" s="342" t="s">
        <v>245</v>
      </c>
      <c r="B632" s="440">
        <f t="shared" si="154"/>
        <v>6.2974999999999994</v>
      </c>
      <c r="C632" s="381">
        <f t="shared" si="155"/>
        <v>6.2483999999999993</v>
      </c>
      <c r="D632" s="382">
        <f t="shared" si="156"/>
        <v>12.9255</v>
      </c>
      <c r="E632" s="382">
        <f t="shared" si="157"/>
        <v>12.9763</v>
      </c>
      <c r="F632" s="444">
        <f t="shared" si="158"/>
        <v>-7.4500000000000455E-2</v>
      </c>
      <c r="G632" s="382" t="str">
        <f t="shared" si="159"/>
        <v>no</v>
      </c>
      <c r="H632" s="382">
        <f t="shared" si="153"/>
        <v>0.44806641140548864</v>
      </c>
      <c r="I632" s="452">
        <f t="shared" si="160"/>
        <v>0.48348142382651443</v>
      </c>
      <c r="J632" s="476">
        <f t="shared" si="161"/>
        <v>6.2966600000000001</v>
      </c>
      <c r="K632" s="477">
        <f t="shared" si="162"/>
        <v>12.986460000000001</v>
      </c>
      <c r="L632" s="477">
        <f>W697</f>
        <v>13.01186</v>
      </c>
      <c r="M632" s="478">
        <f t="shared" si="164"/>
        <v>-1.3539999999998997E-2</v>
      </c>
      <c r="N632" s="479" t="str">
        <f t="shared" si="165"/>
        <v>no</v>
      </c>
      <c r="O632" s="477">
        <f t="shared" si="166"/>
        <v>0.44806641140548864</v>
      </c>
      <c r="P632" s="480">
        <f t="shared" si="167"/>
        <v>0.48489301298968784</v>
      </c>
    </row>
    <row r="633" spans="1:16" s="57" customFormat="1" ht="15.75" thickBot="1">
      <c r="A633" s="126"/>
      <c r="B633" s="126"/>
      <c r="C633" s="126"/>
      <c r="D633" s="126"/>
      <c r="E633" s="126"/>
      <c r="F633" t="s">
        <v>358</v>
      </c>
      <c r="J633" s="481"/>
      <c r="K633" s="482"/>
      <c r="L633" s="482"/>
      <c r="M633" s="483" t="s">
        <v>359</v>
      </c>
      <c r="N633" s="482"/>
      <c r="O633" s="482"/>
      <c r="P633" s="484"/>
    </row>
    <row r="634" spans="1:16" s="57" customFormat="1">
      <c r="A634" s="126"/>
      <c r="B634" s="126"/>
      <c r="C634" s="126"/>
      <c r="D634" s="126"/>
      <c r="J634" s="66"/>
      <c r="K634" s="147"/>
    </row>
    <row r="635" spans="1:16" s="57" customFormat="1">
      <c r="A635" s="126"/>
      <c r="B635" s="126"/>
      <c r="C635" s="126"/>
      <c r="D635" s="126"/>
      <c r="J635" s="66"/>
      <c r="K635" s="147"/>
    </row>
    <row r="636" spans="1:16" s="57" customFormat="1">
      <c r="A636" s="126"/>
      <c r="B636" s="126"/>
      <c r="C636" s="126"/>
      <c r="D636" s="126"/>
      <c r="J636" s="66"/>
      <c r="K636" s="147"/>
    </row>
    <row r="637" spans="1:16" s="57" customFormat="1">
      <c r="A637" s="126"/>
      <c r="B637" s="126"/>
      <c r="C637" s="126"/>
      <c r="D637" s="126"/>
      <c r="J637" s="66"/>
      <c r="K637" s="147"/>
    </row>
    <row r="638" spans="1:16" s="57" customFormat="1">
      <c r="A638" s="126"/>
      <c r="B638" s="126"/>
      <c r="C638" s="126"/>
      <c r="D638" s="126"/>
      <c r="J638" s="11"/>
      <c r="K638" s="147"/>
    </row>
    <row r="639" spans="1:16" s="57" customFormat="1" ht="26.25">
      <c r="A639" s="427" t="s">
        <v>343</v>
      </c>
      <c r="B639" s="126"/>
      <c r="C639" s="126"/>
      <c r="D639" s="126"/>
    </row>
    <row r="640" spans="1:16" s="57" customFormat="1">
      <c r="A640" s="428" t="s">
        <v>336</v>
      </c>
      <c r="B640" s="126">
        <f>0.001</f>
        <v>1E-3</v>
      </c>
      <c r="C640" s="126"/>
      <c r="D640" s="126"/>
    </row>
    <row r="641" spans="1:26" s="57" customFormat="1">
      <c r="A641" s="428"/>
      <c r="B641" s="126"/>
      <c r="C641" s="126"/>
      <c r="D641" s="126"/>
    </row>
    <row r="642" spans="1:26" ht="19.5">
      <c r="A642" s="778" t="s">
        <v>340</v>
      </c>
      <c r="B642" s="778"/>
      <c r="E642" s="392" t="s">
        <v>341</v>
      </c>
      <c r="H642" t="s">
        <v>405</v>
      </c>
      <c r="P642" s="779" t="s">
        <v>339</v>
      </c>
      <c r="Q642" s="780"/>
    </row>
    <row r="643" spans="1:26">
      <c r="A643" s="11" t="s">
        <v>246</v>
      </c>
      <c r="B643" s="343" t="s">
        <v>256</v>
      </c>
      <c r="C643" s="436" t="s">
        <v>337</v>
      </c>
      <c r="D643" s="379"/>
      <c r="E643" s="335" t="s">
        <v>342</v>
      </c>
      <c r="F643" s="335"/>
      <c r="G643" s="335" t="s">
        <v>281</v>
      </c>
      <c r="H643" s="335" t="s">
        <v>277</v>
      </c>
      <c r="I643" s="335" t="s">
        <v>338</v>
      </c>
      <c r="J643" s="335" t="s">
        <v>275</v>
      </c>
      <c r="K643" s="343"/>
      <c r="L643" s="335" t="s">
        <v>320</v>
      </c>
      <c r="M643" s="443" t="s">
        <v>348</v>
      </c>
      <c r="N643" s="398" t="s">
        <v>271</v>
      </c>
      <c r="O643" s="429" t="s">
        <v>271</v>
      </c>
      <c r="P643" s="335" t="s">
        <v>342</v>
      </c>
      <c r="Q643" s="335"/>
      <c r="R643" s="335" t="s">
        <v>281</v>
      </c>
      <c r="S643" s="335" t="s">
        <v>277</v>
      </c>
      <c r="T643" s="335" t="s">
        <v>338</v>
      </c>
      <c r="U643" s="335"/>
      <c r="V643" s="343"/>
      <c r="W643" s="335" t="s">
        <v>320</v>
      </c>
      <c r="X643" s="443" t="s">
        <v>348</v>
      </c>
      <c r="Y643" s="398" t="s">
        <v>271</v>
      </c>
      <c r="Z643" s="429" t="s">
        <v>271</v>
      </c>
    </row>
    <row r="644" spans="1:26">
      <c r="A644" s="32"/>
      <c r="B644" s="342" t="s">
        <v>112</v>
      </c>
      <c r="C644" s="437" t="s">
        <v>112</v>
      </c>
      <c r="D644" s="393" t="s">
        <v>113</v>
      </c>
      <c r="E644" s="342" t="s">
        <v>112</v>
      </c>
      <c r="F644" s="342" t="s">
        <v>113</v>
      </c>
      <c r="G644" s="430" t="s">
        <v>282</v>
      </c>
      <c r="H644" s="430" t="s">
        <v>113</v>
      </c>
      <c r="I644" s="431" t="s">
        <v>113</v>
      </c>
      <c r="J644" s="395" t="s">
        <v>113</v>
      </c>
      <c r="K644" s="395" t="s">
        <v>345</v>
      </c>
      <c r="L644" s="342" t="s">
        <v>113</v>
      </c>
      <c r="M644" s="437" t="s">
        <v>113</v>
      </c>
      <c r="N644" s="342" t="s">
        <v>307</v>
      </c>
      <c r="O644" s="393" t="s">
        <v>309</v>
      </c>
      <c r="P644" s="342" t="s">
        <v>112</v>
      </c>
      <c r="Q644" s="342" t="s">
        <v>113</v>
      </c>
      <c r="R644" s="430" t="s">
        <v>282</v>
      </c>
      <c r="S644" s="430" t="s">
        <v>113</v>
      </c>
      <c r="T644" s="431" t="s">
        <v>113</v>
      </c>
      <c r="U644" s="431" t="s">
        <v>275</v>
      </c>
      <c r="V644" s="395" t="s">
        <v>346</v>
      </c>
      <c r="W644" s="342" t="s">
        <v>113</v>
      </c>
      <c r="X644" s="437" t="s">
        <v>113</v>
      </c>
      <c r="Y644" s="342" t="s">
        <v>307</v>
      </c>
      <c r="Z644" s="393" t="s">
        <v>309</v>
      </c>
    </row>
    <row r="645" spans="1:26">
      <c r="B645" s="343"/>
      <c r="C645" s="436"/>
      <c r="D645" s="379"/>
      <c r="E645" s="343"/>
      <c r="F645" s="343"/>
      <c r="G645" s="222"/>
      <c r="H645" s="222"/>
      <c r="I645" s="343"/>
      <c r="J645" s="343"/>
      <c r="K645" s="343"/>
      <c r="L645" s="343"/>
      <c r="M645" s="347"/>
      <c r="N645" s="343"/>
      <c r="O645" s="379"/>
      <c r="P645" s="343"/>
      <c r="Q645" s="343"/>
      <c r="R645" s="343"/>
      <c r="S645" s="343"/>
      <c r="T645" s="343"/>
      <c r="U645" s="343"/>
      <c r="V645" s="343"/>
      <c r="W645" s="343"/>
      <c r="X645" s="347"/>
      <c r="Y645" s="343"/>
      <c r="Z645" s="344"/>
    </row>
    <row r="646" spans="1:26">
      <c r="A646" s="66" t="s">
        <v>6</v>
      </c>
      <c r="B646" s="449">
        <f>N43</f>
        <v>2.4251968503937012E-2</v>
      </c>
      <c r="C646" s="436">
        <v>2.3099999999999999E-2</v>
      </c>
      <c r="D646" s="376">
        <f>C646*25.4</f>
        <v>0.58673999999999993</v>
      </c>
      <c r="E646" s="334">
        <f>C646-$B$640</f>
        <v>2.2099999999999998E-2</v>
      </c>
      <c r="F646" s="334">
        <f>E646*25.4</f>
        <v>0.56133999999999995</v>
      </c>
      <c r="G646" s="324" t="s">
        <v>283</v>
      </c>
      <c r="H646" s="221">
        <f>13+F648</f>
        <v>13.53848</v>
      </c>
      <c r="I646" s="378">
        <f t="shared" ref="I646:I663" si="168">F646*L43+J43*B43</f>
        <v>12.850759999999998</v>
      </c>
      <c r="J646" s="334">
        <f>H646-I646</f>
        <v>0.68772000000000233</v>
      </c>
      <c r="K646" s="343" t="str">
        <f>IF(J646&lt;0, "yes","no")</f>
        <v>no</v>
      </c>
      <c r="L646" s="378">
        <f t="shared" ref="L646:L665" si="169">(F646+J43)*B43</f>
        <v>12.289419999999998</v>
      </c>
      <c r="M646" s="391">
        <f>L646-13</f>
        <v>-0.71058000000000199</v>
      </c>
      <c r="N646" s="378">
        <f t="shared" ref="N646:N665" si="170">F646/(I646/B43)</f>
        <v>0.56785902156759605</v>
      </c>
      <c r="O646" s="376">
        <f t="shared" ref="O646:O665" si="171">(F646-0.18)/(I646/B43)</f>
        <v>0.38576862380123822</v>
      </c>
      <c r="P646" s="343">
        <f>C646+$B$640</f>
        <v>2.41E-2</v>
      </c>
      <c r="Q646" s="343">
        <f>P646*25.4</f>
        <v>0.61214000000000002</v>
      </c>
      <c r="R646" s="324" t="s">
        <v>283</v>
      </c>
      <c r="S646" s="346">
        <f>13+Q648</f>
        <v>13.58928</v>
      </c>
      <c r="T646" s="378">
        <f t="shared" ref="T646:T663" si="172">Q646*L43+J43*B43</f>
        <v>13.561959999999999</v>
      </c>
      <c r="U646" s="378">
        <f>S646-T646</f>
        <v>2.7320000000001343E-2</v>
      </c>
      <c r="V646" s="435" t="str">
        <f>IF(U646&lt;0, "yes","no")</f>
        <v>no</v>
      </c>
      <c r="W646" s="378">
        <f t="shared" ref="W646:W665" si="173">(J43+Q646)*B43</f>
        <v>12.949819999999997</v>
      </c>
      <c r="X646" s="391">
        <f>W646-13</f>
        <v>-5.0180000000002778E-2</v>
      </c>
      <c r="Y646" s="378">
        <f t="shared" ref="Y646:Y665" si="174">Q646/(W646/B43)</f>
        <v>0.61451201638323949</v>
      </c>
      <c r="Z646" s="376">
        <f t="shared" ref="Z646:Z665" si="175">(Q646-0.18)/(W646/B43)</f>
        <v>0.43381452406288284</v>
      </c>
    </row>
    <row r="647" spans="1:26">
      <c r="A647" s="66" t="s">
        <v>164</v>
      </c>
      <c r="B647" s="449">
        <f t="shared" ref="B647:B665" si="176">N44</f>
        <v>2.4219386369807222E-2</v>
      </c>
      <c r="C647" s="436">
        <v>2.3099999999999999E-2</v>
      </c>
      <c r="D647" s="376">
        <f t="shared" ref="D647:D665" si="177">C647*25.4</f>
        <v>0.58673999999999993</v>
      </c>
      <c r="E647" s="334">
        <f t="shared" ref="E647:E665" si="178">C647-$B$640</f>
        <v>2.2099999999999998E-2</v>
      </c>
      <c r="F647" s="334">
        <f t="shared" ref="F647:F665" si="179">E647*25.4</f>
        <v>0.56133999999999995</v>
      </c>
      <c r="G647" s="324" t="s">
        <v>284</v>
      </c>
      <c r="H647" s="221">
        <f>13+F649</f>
        <v>13.525779999999999</v>
      </c>
      <c r="I647" s="378">
        <f t="shared" si="168"/>
        <v>12.861518620689655</v>
      </c>
      <c r="J647" s="334">
        <f t="shared" ref="J647:J665" si="180">H647-I647</f>
        <v>0.66426137931034468</v>
      </c>
      <c r="K647" s="343" t="str">
        <f t="shared" ref="K647:K665" si="181">IF(J647&lt;0, "yes","no")</f>
        <v>no</v>
      </c>
      <c r="L647" s="378">
        <f t="shared" si="169"/>
        <v>12.300178620689655</v>
      </c>
      <c r="M647" s="391">
        <f t="shared" ref="M647:M665" si="182">L647-13</f>
        <v>-0.69982137931034494</v>
      </c>
      <c r="N647" s="378">
        <f t="shared" si="170"/>
        <v>0.56738400924607924</v>
      </c>
      <c r="O647" s="376">
        <f t="shared" si="171"/>
        <v>0.38544592953628787</v>
      </c>
      <c r="P647" s="343">
        <f t="shared" ref="P647:P665" si="183">C647+$B$640</f>
        <v>2.41E-2</v>
      </c>
      <c r="Q647" s="343">
        <f t="shared" ref="Q647:Q665" si="184">P647*25.4</f>
        <v>0.61214000000000002</v>
      </c>
      <c r="R647" s="324" t="s">
        <v>284</v>
      </c>
      <c r="S647" s="346">
        <f>13+Q649</f>
        <v>13.57658</v>
      </c>
      <c r="T647" s="378">
        <f t="shared" si="172"/>
        <v>13.572718620689656</v>
      </c>
      <c r="U647" s="378">
        <f t="shared" ref="U647:U665" si="185">S647-T647</f>
        <v>3.8613793103436933E-3</v>
      </c>
      <c r="V647" s="435" t="str">
        <f t="shared" ref="V647:V665" si="186">IF(U647&lt;0, "yes","no")</f>
        <v>no</v>
      </c>
      <c r="W647" s="378">
        <f t="shared" si="173"/>
        <v>12.960578620689656</v>
      </c>
      <c r="X647" s="391">
        <f t="shared" ref="X647:X665" si="187">W647-13</f>
        <v>-3.9421379310343951E-2</v>
      </c>
      <c r="Y647" s="378">
        <f t="shared" si="174"/>
        <v>0.61400190785436937</v>
      </c>
      <c r="Z647" s="376">
        <f t="shared" si="175"/>
        <v>0.43345441314109062</v>
      </c>
    </row>
    <row r="648" spans="1:26">
      <c r="A648" s="66" t="s">
        <v>9</v>
      </c>
      <c r="B648" s="449">
        <f t="shared" si="176"/>
        <v>2.2947983774755456E-2</v>
      </c>
      <c r="C648" s="436">
        <v>2.2200000000000001E-2</v>
      </c>
      <c r="D648" s="376">
        <f t="shared" si="177"/>
        <v>0.56388000000000005</v>
      </c>
      <c r="E648" s="334">
        <f t="shared" si="178"/>
        <v>2.12E-2</v>
      </c>
      <c r="F648" s="334">
        <f t="shared" si="179"/>
        <v>0.53847999999999996</v>
      </c>
      <c r="G648" s="324" t="s">
        <v>286</v>
      </c>
      <c r="H648" s="221">
        <f>13+F650</f>
        <v>13.635</v>
      </c>
      <c r="I648" s="378">
        <f t="shared" si="168"/>
        <v>13.005694545454537</v>
      </c>
      <c r="J648" s="334">
        <f t="shared" si="180"/>
        <v>0.62930545454546305</v>
      </c>
      <c r="K648" s="343" t="str">
        <f t="shared" si="181"/>
        <v>no</v>
      </c>
      <c r="L648" s="378">
        <f t="shared" si="169"/>
        <v>12.467214545454535</v>
      </c>
      <c r="M648" s="391">
        <f t="shared" si="182"/>
        <v>-0.53278545454546489</v>
      </c>
      <c r="N648" s="378">
        <f t="shared" si="170"/>
        <v>0.49684082441090172</v>
      </c>
      <c r="O648" s="376">
        <f t="shared" si="171"/>
        <v>0.33075972874539455</v>
      </c>
      <c r="P648" s="343">
        <f t="shared" si="183"/>
        <v>2.3200000000000002E-2</v>
      </c>
      <c r="Q648" s="343">
        <f t="shared" si="184"/>
        <v>0.58928000000000003</v>
      </c>
      <c r="R648" s="324" t="s">
        <v>286</v>
      </c>
      <c r="S648" s="346">
        <f>13+Q650</f>
        <v>13.6858</v>
      </c>
      <c r="T648" s="378">
        <f t="shared" si="172"/>
        <v>13.666094545454538</v>
      </c>
      <c r="U648" s="378">
        <f t="shared" si="185"/>
        <v>1.9705454545462686E-2</v>
      </c>
      <c r="V648" s="435" t="str">
        <f t="shared" si="186"/>
        <v>no</v>
      </c>
      <c r="W648" s="378">
        <f t="shared" si="173"/>
        <v>13.076814545454535</v>
      </c>
      <c r="X648" s="391">
        <f t="shared" si="187"/>
        <v>7.6814545454535477E-2</v>
      </c>
      <c r="Y648" s="378">
        <f t="shared" si="174"/>
        <v>0.54075554680539428</v>
      </c>
      <c r="Z648" s="376">
        <f t="shared" si="175"/>
        <v>0.37557770532940499</v>
      </c>
    </row>
    <row r="649" spans="1:26">
      <c r="A649" s="66" t="s">
        <v>165</v>
      </c>
      <c r="B649" s="449">
        <f t="shared" si="176"/>
        <v>2.2399801376179307E-2</v>
      </c>
      <c r="C649" s="436">
        <v>2.1700000000000001E-2</v>
      </c>
      <c r="D649" s="376">
        <f t="shared" si="177"/>
        <v>0.55118</v>
      </c>
      <c r="E649" s="334">
        <f t="shared" si="178"/>
        <v>2.07E-2</v>
      </c>
      <c r="F649" s="334">
        <f t="shared" si="179"/>
        <v>0.52577999999999991</v>
      </c>
      <c r="G649" s="324" t="s">
        <v>285</v>
      </c>
      <c r="H649" s="221">
        <f>13+F651</f>
        <v>13.622299999999999</v>
      </c>
      <c r="I649" s="378">
        <f t="shared" si="168"/>
        <v>13.007680540540544</v>
      </c>
      <c r="J649" s="334">
        <f t="shared" si="180"/>
        <v>0.61461945945945473</v>
      </c>
      <c r="K649" s="343" t="str">
        <f t="shared" si="181"/>
        <v>no</v>
      </c>
      <c r="L649" s="378">
        <f t="shared" si="169"/>
        <v>12.481900540540545</v>
      </c>
      <c r="M649" s="391">
        <f t="shared" si="182"/>
        <v>-0.51809945945945479</v>
      </c>
      <c r="N649" s="378">
        <f t="shared" si="170"/>
        <v>0.48504881253316884</v>
      </c>
      <c r="O649" s="376">
        <f t="shared" si="171"/>
        <v>0.3189930739049015</v>
      </c>
      <c r="P649" s="343">
        <f t="shared" si="183"/>
        <v>2.2700000000000001E-2</v>
      </c>
      <c r="Q649" s="343">
        <f t="shared" si="184"/>
        <v>0.57657999999999998</v>
      </c>
      <c r="R649" s="324" t="s">
        <v>285</v>
      </c>
      <c r="S649" s="346">
        <f>13+Q651</f>
        <v>13.6731</v>
      </c>
      <c r="T649" s="378">
        <f t="shared" si="172"/>
        <v>13.668080540540547</v>
      </c>
      <c r="U649" s="378">
        <f t="shared" si="185"/>
        <v>5.019459459452591E-3</v>
      </c>
      <c r="V649" s="435" t="str">
        <f t="shared" si="186"/>
        <v>no</v>
      </c>
      <c r="W649" s="378">
        <f t="shared" si="173"/>
        <v>13.091500540540547</v>
      </c>
      <c r="X649" s="391">
        <f t="shared" si="187"/>
        <v>9.1500540540547348E-2</v>
      </c>
      <c r="Y649" s="378">
        <f t="shared" si="174"/>
        <v>0.52850778858955128</v>
      </c>
      <c r="Z649" s="376">
        <f t="shared" si="175"/>
        <v>0.36351524298249027</v>
      </c>
    </row>
    <row r="650" spans="1:26">
      <c r="A650" s="66" t="s">
        <v>11</v>
      </c>
      <c r="B650" s="449">
        <f t="shared" si="176"/>
        <v>2.6825340014316426E-2</v>
      </c>
      <c r="C650" s="436">
        <v>2.5999999999999999E-2</v>
      </c>
      <c r="D650" s="376">
        <f t="shared" si="177"/>
        <v>0.66039999999999999</v>
      </c>
      <c r="E650" s="334">
        <f t="shared" si="178"/>
        <v>2.4999999999999998E-2</v>
      </c>
      <c r="F650" s="334">
        <f t="shared" si="179"/>
        <v>0.6349999999999999</v>
      </c>
      <c r="G650" s="324" t="s">
        <v>287</v>
      </c>
      <c r="H650" s="221">
        <f>13+F652</f>
        <v>13.736599999999999</v>
      </c>
      <c r="I650" s="378">
        <f t="shared" si="168"/>
        <v>13.124999999999991</v>
      </c>
      <c r="J650" s="334">
        <f t="shared" si="180"/>
        <v>0.61160000000000814</v>
      </c>
      <c r="K650" s="343" t="str">
        <f t="shared" si="181"/>
        <v>no</v>
      </c>
      <c r="L650" s="378">
        <f t="shared" si="169"/>
        <v>12.489999999999991</v>
      </c>
      <c r="M650" s="391">
        <f t="shared" si="182"/>
        <v>-0.51000000000000867</v>
      </c>
      <c r="N650" s="378">
        <f t="shared" si="170"/>
        <v>0.53219047619047644</v>
      </c>
      <c r="O650" s="376">
        <f t="shared" si="171"/>
        <v>0.38133333333333347</v>
      </c>
      <c r="P650" s="343">
        <f t="shared" si="183"/>
        <v>2.7E-2</v>
      </c>
      <c r="Q650" s="343">
        <f t="shared" si="184"/>
        <v>0.68579999999999997</v>
      </c>
      <c r="R650" s="324" t="s">
        <v>287</v>
      </c>
      <c r="S650" s="346">
        <f>13+Q652</f>
        <v>13.7874</v>
      </c>
      <c r="T650" s="378">
        <f t="shared" si="172"/>
        <v>13.734599999999991</v>
      </c>
      <c r="U650" s="378">
        <f t="shared" si="185"/>
        <v>5.2800000000008396E-2</v>
      </c>
      <c r="V650" s="435" t="str">
        <f t="shared" si="186"/>
        <v>no</v>
      </c>
      <c r="W650" s="378">
        <f t="shared" si="173"/>
        <v>13.048799999999989</v>
      </c>
      <c r="X650" s="391">
        <f t="shared" si="187"/>
        <v>4.8799999999989296E-2</v>
      </c>
      <c r="Y650" s="378">
        <f t="shared" si="174"/>
        <v>0.57812212617252201</v>
      </c>
      <c r="Z650" s="376">
        <f t="shared" si="175"/>
        <v>0.42638403531359242</v>
      </c>
    </row>
    <row r="651" spans="1:26">
      <c r="A651" s="66" t="s">
        <v>226</v>
      </c>
      <c r="B651" s="449">
        <f t="shared" si="176"/>
        <v>2.6277157615740277E-2</v>
      </c>
      <c r="C651" s="436">
        <v>2.5499999999999998E-2</v>
      </c>
      <c r="D651" s="376">
        <f t="shared" si="177"/>
        <v>0.64769999999999994</v>
      </c>
      <c r="E651" s="334">
        <f t="shared" si="178"/>
        <v>2.4499999999999997E-2</v>
      </c>
      <c r="F651" s="334">
        <f t="shared" si="179"/>
        <v>0.62229999999999985</v>
      </c>
      <c r="G651" s="324" t="s">
        <v>287</v>
      </c>
      <c r="H651" s="221">
        <f>13+F652</f>
        <v>13.736599999999999</v>
      </c>
      <c r="I651" s="378">
        <f t="shared" si="168"/>
        <v>13.125762162162165</v>
      </c>
      <c r="J651" s="334">
        <f t="shared" si="180"/>
        <v>0.61083783783783474</v>
      </c>
      <c r="K651" s="343" t="str">
        <f t="shared" si="181"/>
        <v>no</v>
      </c>
      <c r="L651" s="378">
        <f t="shared" si="169"/>
        <v>12.503462162162165</v>
      </c>
      <c r="M651" s="391">
        <f t="shared" si="182"/>
        <v>-0.49653783783783467</v>
      </c>
      <c r="N651" s="378">
        <f t="shared" si="170"/>
        <v>0.5215163824721013</v>
      </c>
      <c r="O651" s="376">
        <f t="shared" si="171"/>
        <v>0.37066799930485356</v>
      </c>
      <c r="P651" s="343">
        <f t="shared" si="183"/>
        <v>2.6499999999999999E-2</v>
      </c>
      <c r="Q651" s="343">
        <f t="shared" si="184"/>
        <v>0.67309999999999992</v>
      </c>
      <c r="R651" s="324" t="s">
        <v>287</v>
      </c>
      <c r="S651" s="346">
        <f>13+Q652</f>
        <v>13.7874</v>
      </c>
      <c r="T651" s="378">
        <f t="shared" si="172"/>
        <v>13.735362162162167</v>
      </c>
      <c r="U651" s="378">
        <f t="shared" si="185"/>
        <v>5.2037837837833223E-2</v>
      </c>
      <c r="V651" s="435" t="str">
        <f t="shared" si="186"/>
        <v>no</v>
      </c>
      <c r="W651" s="378">
        <f t="shared" si="173"/>
        <v>13.062262162162167</v>
      </c>
      <c r="X651" s="391">
        <f t="shared" si="187"/>
        <v>6.2262162162166845E-2</v>
      </c>
      <c r="Y651" s="378">
        <f t="shared" si="174"/>
        <v>0.56683137331661204</v>
      </c>
      <c r="Z651" s="376">
        <f t="shared" si="175"/>
        <v>0.41524966599676327</v>
      </c>
    </row>
    <row r="652" spans="1:26">
      <c r="A652" s="11" t="s">
        <v>13</v>
      </c>
      <c r="B652" s="449">
        <f t="shared" si="176"/>
        <v>3.1478167501789583E-2</v>
      </c>
      <c r="C652" s="436">
        <v>0.03</v>
      </c>
      <c r="D652" s="376">
        <f t="shared" si="177"/>
        <v>0.7619999999999999</v>
      </c>
      <c r="E652" s="334">
        <f t="shared" si="178"/>
        <v>2.8999999999999998E-2</v>
      </c>
      <c r="F652" s="334">
        <f t="shared" si="179"/>
        <v>0.73659999999999992</v>
      </c>
      <c r="G652" s="324" t="s">
        <v>288</v>
      </c>
      <c r="H652" s="221">
        <f>13+F653</f>
        <v>13.762</v>
      </c>
      <c r="I652" s="378">
        <f t="shared" si="168"/>
        <v>13.107145454545446</v>
      </c>
      <c r="J652" s="334">
        <f t="shared" si="180"/>
        <v>0.65485454545455468</v>
      </c>
      <c r="K652" s="343" t="str">
        <f t="shared" si="181"/>
        <v>no</v>
      </c>
      <c r="L652" s="378">
        <f t="shared" si="169"/>
        <v>12.370545454545447</v>
      </c>
      <c r="M652" s="391">
        <f t="shared" si="182"/>
        <v>-0.62945454545455348</v>
      </c>
      <c r="N652" s="378">
        <f t="shared" si="170"/>
        <v>0.56198353985959115</v>
      </c>
      <c r="O652" s="376">
        <f t="shared" si="171"/>
        <v>0.42465386680131473</v>
      </c>
      <c r="P652" s="343">
        <f t="shared" si="183"/>
        <v>3.1E-2</v>
      </c>
      <c r="Q652" s="343">
        <f t="shared" si="184"/>
        <v>0.78739999999999999</v>
      </c>
      <c r="R652" s="324" t="s">
        <v>288</v>
      </c>
      <c r="S652" s="346">
        <f>13+Q653</f>
        <v>13.812799999999999</v>
      </c>
      <c r="T652" s="378">
        <f t="shared" si="172"/>
        <v>13.665945454545447</v>
      </c>
      <c r="U652" s="378">
        <f t="shared" si="185"/>
        <v>0.14685454545455201</v>
      </c>
      <c r="V652" s="435" t="str">
        <f t="shared" si="186"/>
        <v>no</v>
      </c>
      <c r="W652" s="378">
        <f t="shared" si="173"/>
        <v>12.878545454545447</v>
      </c>
      <c r="X652" s="391">
        <f t="shared" si="187"/>
        <v>-0.12145454545455259</v>
      </c>
      <c r="Y652" s="378">
        <f t="shared" si="174"/>
        <v>0.61140444996611731</v>
      </c>
      <c r="Z652" s="376">
        <f t="shared" si="175"/>
        <v>0.47163711316918927</v>
      </c>
    </row>
    <row r="653" spans="1:26">
      <c r="A653" s="11" t="s">
        <v>15</v>
      </c>
      <c r="B653" s="449">
        <f t="shared" si="176"/>
        <v>3.2027559055118122E-2</v>
      </c>
      <c r="C653" s="436">
        <v>3.1E-2</v>
      </c>
      <c r="D653" s="376">
        <f t="shared" si="177"/>
        <v>0.78739999999999999</v>
      </c>
      <c r="E653" s="334">
        <f t="shared" si="178"/>
        <v>0.03</v>
      </c>
      <c r="F653" s="334">
        <f t="shared" si="179"/>
        <v>0.7619999999999999</v>
      </c>
      <c r="G653" s="324" t="s">
        <v>289</v>
      </c>
      <c r="H653" s="221">
        <f>13+F654</f>
        <v>13.82042</v>
      </c>
      <c r="I653" s="378">
        <f t="shared" si="168"/>
        <v>13.298499999999997</v>
      </c>
      <c r="J653" s="334">
        <f t="shared" si="180"/>
        <v>0.52192000000000327</v>
      </c>
      <c r="K653" s="343" t="str">
        <f t="shared" si="181"/>
        <v>no</v>
      </c>
      <c r="L653" s="378">
        <f t="shared" si="169"/>
        <v>12.536499999999997</v>
      </c>
      <c r="M653" s="391">
        <f t="shared" si="182"/>
        <v>-0.46350000000000335</v>
      </c>
      <c r="N653" s="378">
        <f t="shared" si="170"/>
        <v>0.51569725908937103</v>
      </c>
      <c r="O653" s="376">
        <f t="shared" si="171"/>
        <v>0.39387900891077943</v>
      </c>
      <c r="P653" s="343">
        <f t="shared" si="183"/>
        <v>3.2000000000000001E-2</v>
      </c>
      <c r="Q653" s="343">
        <f t="shared" si="184"/>
        <v>0.81279999999999997</v>
      </c>
      <c r="R653" s="324" t="s">
        <v>289</v>
      </c>
      <c r="S653" s="346">
        <f>13+Q654</f>
        <v>13.871220000000001</v>
      </c>
      <c r="T653" s="378">
        <f t="shared" si="172"/>
        <v>13.806499999999998</v>
      </c>
      <c r="U653" s="378">
        <f t="shared" si="185"/>
        <v>6.4720000000002997E-2</v>
      </c>
      <c r="V653" s="435" t="str">
        <f t="shared" si="186"/>
        <v>no</v>
      </c>
      <c r="W653" s="378">
        <f t="shared" si="173"/>
        <v>12.993699999999997</v>
      </c>
      <c r="X653" s="391">
        <f t="shared" si="187"/>
        <v>-6.3000000000030809E-3</v>
      </c>
      <c r="Y653" s="378">
        <f t="shared" si="174"/>
        <v>0.56298052132956755</v>
      </c>
      <c r="Z653" s="376">
        <f t="shared" si="175"/>
        <v>0.43830471690126765</v>
      </c>
    </row>
    <row r="654" spans="1:26">
      <c r="A654" s="11" t="s">
        <v>17</v>
      </c>
      <c r="B654" s="449">
        <f t="shared" si="176"/>
        <v>3.3750468691413571E-2</v>
      </c>
      <c r="C654" s="436">
        <v>3.3300000000000003E-2</v>
      </c>
      <c r="D654" s="376">
        <f t="shared" si="177"/>
        <v>0.84582000000000002</v>
      </c>
      <c r="E654" s="334">
        <f t="shared" si="178"/>
        <v>3.2300000000000002E-2</v>
      </c>
      <c r="F654" s="334">
        <f t="shared" si="179"/>
        <v>0.82042000000000004</v>
      </c>
      <c r="G654" s="324" t="s">
        <v>292</v>
      </c>
      <c r="H654" s="221">
        <f>13+MIN(F655,F656)</f>
        <v>13.93472</v>
      </c>
      <c r="I654" s="378">
        <f t="shared" si="168"/>
        <v>13.525684761904763</v>
      </c>
      <c r="J654" s="334">
        <f t="shared" si="180"/>
        <v>0.40903523809523712</v>
      </c>
      <c r="K654" s="343" t="str">
        <f t="shared" si="181"/>
        <v>no</v>
      </c>
      <c r="L654" s="378">
        <f t="shared" si="169"/>
        <v>12.705264761904763</v>
      </c>
      <c r="M654" s="391">
        <f t="shared" si="182"/>
        <v>-0.29473523809523705</v>
      </c>
      <c r="N654" s="378">
        <f t="shared" si="170"/>
        <v>0.48525158729750778</v>
      </c>
      <c r="O654" s="376">
        <f t="shared" si="171"/>
        <v>0.37878747658159229</v>
      </c>
      <c r="P654" s="343">
        <f t="shared" si="183"/>
        <v>3.4300000000000004E-2</v>
      </c>
      <c r="Q654" s="343">
        <f t="shared" si="184"/>
        <v>0.87122000000000011</v>
      </c>
      <c r="R654" s="324" t="s">
        <v>292</v>
      </c>
      <c r="S654" s="346">
        <f>13+MIN(Q655,Q656)</f>
        <v>13.985519999999999</v>
      </c>
      <c r="T654" s="378">
        <f t="shared" si="172"/>
        <v>13.982884761904764</v>
      </c>
      <c r="U654" s="378">
        <f t="shared" si="185"/>
        <v>2.6352380952356924E-3</v>
      </c>
      <c r="V654" s="435" t="str">
        <f t="shared" si="186"/>
        <v>no</v>
      </c>
      <c r="W654" s="378">
        <f t="shared" si="173"/>
        <v>13.111664761904763</v>
      </c>
      <c r="X654" s="391">
        <f t="shared" si="187"/>
        <v>0.1116647619047626</v>
      </c>
      <c r="Y654" s="378">
        <f t="shared" si="174"/>
        <v>0.5315694175045006</v>
      </c>
      <c r="Z654" s="376">
        <f t="shared" si="175"/>
        <v>0.42174354671318487</v>
      </c>
    </row>
    <row r="655" spans="1:26">
      <c r="A655" s="11" t="s">
        <v>19</v>
      </c>
      <c r="B655" s="449">
        <f t="shared" si="176"/>
        <v>3.7962991112597495E-2</v>
      </c>
      <c r="C655" s="436">
        <v>3.78E-2</v>
      </c>
      <c r="D655" s="376">
        <f t="shared" si="177"/>
        <v>0.96011999999999997</v>
      </c>
      <c r="E655" s="334">
        <f t="shared" si="178"/>
        <v>3.6799999999999999E-2</v>
      </c>
      <c r="F655" s="334">
        <f t="shared" si="179"/>
        <v>0.93471999999999988</v>
      </c>
      <c r="G655" s="324" t="s">
        <v>290</v>
      </c>
      <c r="H655" s="221">
        <f>13+F657</f>
        <v>14.0922</v>
      </c>
      <c r="I655" s="378">
        <f t="shared" si="168"/>
        <v>13.727940180180166</v>
      </c>
      <c r="J655" s="334">
        <f t="shared" si="180"/>
        <v>0.36425981981983391</v>
      </c>
      <c r="K655" s="343" t="str">
        <f t="shared" si="181"/>
        <v>no</v>
      </c>
      <c r="L655" s="378">
        <f t="shared" si="169"/>
        <v>12.793220180180166</v>
      </c>
      <c r="M655" s="391">
        <f t="shared" si="182"/>
        <v>-0.20677981981983429</v>
      </c>
      <c r="N655" s="378">
        <f t="shared" si="170"/>
        <v>0.47662212350302713</v>
      </c>
      <c r="O655" s="376">
        <f t="shared" si="171"/>
        <v>0.38483850677230036</v>
      </c>
      <c r="P655" s="343">
        <f t="shared" si="183"/>
        <v>3.8800000000000001E-2</v>
      </c>
      <c r="Q655" s="343">
        <f t="shared" si="184"/>
        <v>0.98551999999999995</v>
      </c>
      <c r="R655" s="324" t="s">
        <v>290</v>
      </c>
      <c r="S655" s="346">
        <f>13+Q657</f>
        <v>14.143000000000001</v>
      </c>
      <c r="T655" s="378">
        <f t="shared" si="172"/>
        <v>14.134340180180166</v>
      </c>
      <c r="U655" s="378">
        <f t="shared" si="185"/>
        <v>8.6598198198348797E-3</v>
      </c>
      <c r="V655" s="435" t="str">
        <f t="shared" si="186"/>
        <v>no</v>
      </c>
      <c r="W655" s="378">
        <f t="shared" si="173"/>
        <v>13.148820180180167</v>
      </c>
      <c r="X655" s="391">
        <f t="shared" si="187"/>
        <v>0.14882018018016652</v>
      </c>
      <c r="Y655" s="378">
        <f t="shared" si="174"/>
        <v>0.52465847927547471</v>
      </c>
      <c r="Z655" s="376">
        <f t="shared" si="175"/>
        <v>0.42883239125129924</v>
      </c>
    </row>
    <row r="656" spans="1:26">
      <c r="A656" s="11" t="s">
        <v>168</v>
      </c>
      <c r="B656" s="449">
        <f t="shared" si="176"/>
        <v>3.8389135181631708E-2</v>
      </c>
      <c r="C656" s="436">
        <v>3.7999999999999999E-2</v>
      </c>
      <c r="D656" s="376">
        <f t="shared" si="177"/>
        <v>0.96519999999999995</v>
      </c>
      <c r="E656" s="334">
        <f t="shared" si="178"/>
        <v>3.6999999999999998E-2</v>
      </c>
      <c r="F656" s="334">
        <f t="shared" si="179"/>
        <v>0.93979999999999986</v>
      </c>
      <c r="G656" s="324" t="s">
        <v>291</v>
      </c>
      <c r="H656" s="221">
        <f>13+F658</f>
        <v>14.117599999999999</v>
      </c>
      <c r="I656" s="378">
        <f t="shared" si="168"/>
        <v>13.692811764705883</v>
      </c>
      <c r="J656" s="334">
        <f t="shared" si="180"/>
        <v>0.42478823529411613</v>
      </c>
      <c r="K656" s="343" t="str">
        <f t="shared" si="181"/>
        <v>no</v>
      </c>
      <c r="L656" s="378">
        <f t="shared" si="169"/>
        <v>12.753011764705882</v>
      </c>
      <c r="M656" s="391">
        <f t="shared" si="182"/>
        <v>-0.2469882352941184</v>
      </c>
      <c r="N656" s="378">
        <f t="shared" si="170"/>
        <v>0.48044186344230411</v>
      </c>
      <c r="O656" s="376">
        <f t="shared" si="171"/>
        <v>0.38842277914818324</v>
      </c>
      <c r="P656" s="343">
        <f t="shared" si="183"/>
        <v>3.9E-2</v>
      </c>
      <c r="Q656" s="343">
        <f t="shared" si="184"/>
        <v>0.99059999999999993</v>
      </c>
      <c r="R656" s="324" t="s">
        <v>291</v>
      </c>
      <c r="S656" s="346">
        <f>13+Q658</f>
        <v>14.1684</v>
      </c>
      <c r="T656" s="378">
        <f t="shared" si="172"/>
        <v>14.099211764705883</v>
      </c>
      <c r="U656" s="378">
        <f t="shared" si="185"/>
        <v>6.9188235294117106E-2</v>
      </c>
      <c r="V656" s="435" t="str">
        <f t="shared" si="186"/>
        <v>no</v>
      </c>
      <c r="W656" s="378">
        <f t="shared" si="173"/>
        <v>13.108611764705882</v>
      </c>
      <c r="X656" s="391">
        <f t="shared" si="187"/>
        <v>0.10861176470588241</v>
      </c>
      <c r="Y656" s="378">
        <f t="shared" si="174"/>
        <v>0.52898049957279991</v>
      </c>
      <c r="Z656" s="376">
        <f t="shared" si="175"/>
        <v>0.43286048147962003</v>
      </c>
    </row>
    <row r="657" spans="1:26">
      <c r="A657" s="11" t="s">
        <v>21</v>
      </c>
      <c r="B657" s="449">
        <f t="shared" si="176"/>
        <v>4.4992125984251945E-2</v>
      </c>
      <c r="C657" s="436">
        <v>4.3999999999999997E-2</v>
      </c>
      <c r="D657" s="376">
        <f t="shared" si="177"/>
        <v>1.1175999999999999</v>
      </c>
      <c r="E657" s="334">
        <f t="shared" si="178"/>
        <v>4.2999999999999997E-2</v>
      </c>
      <c r="F657" s="334">
        <f t="shared" si="179"/>
        <v>1.0921999999999998</v>
      </c>
      <c r="G657" s="324" t="s">
        <v>293</v>
      </c>
      <c r="H657" s="221">
        <f>13+F659</f>
        <v>14.2446</v>
      </c>
      <c r="I657" s="378">
        <f t="shared" si="168"/>
        <v>13.788600000000002</v>
      </c>
      <c r="J657" s="334">
        <f t="shared" si="180"/>
        <v>0.45599999999999774</v>
      </c>
      <c r="K657" s="343" t="str">
        <f t="shared" si="181"/>
        <v>no</v>
      </c>
      <c r="L657" s="378">
        <f t="shared" si="169"/>
        <v>12.696400000000001</v>
      </c>
      <c r="M657" s="391">
        <f t="shared" si="182"/>
        <v>-0.30359999999999943</v>
      </c>
      <c r="N657" s="378">
        <f t="shared" si="170"/>
        <v>0.47526217309951685</v>
      </c>
      <c r="O657" s="376">
        <f t="shared" si="171"/>
        <v>0.39693659979983453</v>
      </c>
      <c r="P657" s="343">
        <f t="shared" si="183"/>
        <v>4.4999999999999998E-2</v>
      </c>
      <c r="Q657" s="343">
        <f t="shared" si="184"/>
        <v>1.1429999999999998</v>
      </c>
      <c r="R657" s="324" t="s">
        <v>293</v>
      </c>
      <c r="S657" s="346">
        <f>13+Q659</f>
        <v>14.295400000000001</v>
      </c>
      <c r="T657" s="378">
        <f t="shared" si="172"/>
        <v>14.144200000000001</v>
      </c>
      <c r="U657" s="378">
        <f t="shared" si="185"/>
        <v>0.15119999999999933</v>
      </c>
      <c r="V657" s="435" t="str">
        <f t="shared" si="186"/>
        <v>no</v>
      </c>
      <c r="W657" s="378">
        <f t="shared" si="173"/>
        <v>13.001200000000001</v>
      </c>
      <c r="X657" s="391">
        <f t="shared" si="187"/>
        <v>1.200000000000756E-3</v>
      </c>
      <c r="Y657" s="378">
        <f t="shared" si="174"/>
        <v>0.5274897701750606</v>
      </c>
      <c r="Z657" s="376">
        <f t="shared" si="175"/>
        <v>0.44442051502938179</v>
      </c>
    </row>
    <row r="658" spans="1:26">
      <c r="A658" s="11" t="s">
        <v>243</v>
      </c>
      <c r="B658" s="449">
        <f t="shared" si="176"/>
        <v>4.4890523552976916E-2</v>
      </c>
      <c r="C658" s="436">
        <v>4.4999999999999998E-2</v>
      </c>
      <c r="D658" s="376">
        <f t="shared" si="177"/>
        <v>1.1429999999999998</v>
      </c>
      <c r="E658" s="334">
        <f t="shared" si="178"/>
        <v>4.3999999999999997E-2</v>
      </c>
      <c r="F658" s="334">
        <f t="shared" si="179"/>
        <v>1.1175999999999999</v>
      </c>
      <c r="G658" s="324" t="s">
        <v>294</v>
      </c>
      <c r="H658" s="221">
        <f>13+F660</f>
        <v>14.295400000000001</v>
      </c>
      <c r="I658" s="378">
        <f t="shared" si="168"/>
        <v>13.981884210526317</v>
      </c>
      <c r="J658" s="334">
        <f t="shared" si="180"/>
        <v>0.31351578947368353</v>
      </c>
      <c r="K658" s="343" t="str">
        <f t="shared" si="181"/>
        <v>no</v>
      </c>
      <c r="L658" s="378">
        <f t="shared" si="169"/>
        <v>12.864284210526318</v>
      </c>
      <c r="M658" s="391">
        <f t="shared" si="182"/>
        <v>-0.13571578947368224</v>
      </c>
      <c r="N658" s="378">
        <f t="shared" si="170"/>
        <v>0.47959201342489033</v>
      </c>
      <c r="O658" s="376">
        <f t="shared" si="171"/>
        <v>0.40234920524980067</v>
      </c>
      <c r="P658" s="343">
        <f t="shared" si="183"/>
        <v>4.5999999999999999E-2</v>
      </c>
      <c r="Q658" s="343">
        <f t="shared" si="184"/>
        <v>1.1683999999999999</v>
      </c>
      <c r="R658" s="324" t="s">
        <v>294</v>
      </c>
      <c r="S658" s="346">
        <f>13+Q660</f>
        <v>14.3462</v>
      </c>
      <c r="T658" s="378">
        <f t="shared" si="172"/>
        <v>14.337484210526316</v>
      </c>
      <c r="U658" s="378">
        <f t="shared" si="185"/>
        <v>8.7157894736833441E-3</v>
      </c>
      <c r="V658" s="435" t="str">
        <f t="shared" si="186"/>
        <v>no</v>
      </c>
      <c r="W658" s="378">
        <f t="shared" si="173"/>
        <v>13.169084210526318</v>
      </c>
      <c r="X658" s="391">
        <f t="shared" si="187"/>
        <v>0.16908421052631795</v>
      </c>
      <c r="Y658" s="378">
        <f t="shared" si="174"/>
        <v>0.53233770001990288</v>
      </c>
      <c r="Z658" s="376">
        <f t="shared" si="175"/>
        <v>0.45032744154371113</v>
      </c>
    </row>
    <row r="659" spans="1:26">
      <c r="A659" s="11" t="s">
        <v>22</v>
      </c>
      <c r="B659" s="449">
        <f t="shared" si="176"/>
        <v>5.0390576177977736E-2</v>
      </c>
      <c r="C659" s="436">
        <v>0.05</v>
      </c>
      <c r="D659" s="376">
        <f t="shared" si="177"/>
        <v>1.27</v>
      </c>
      <c r="E659" s="334">
        <f t="shared" si="178"/>
        <v>4.9000000000000002E-2</v>
      </c>
      <c r="F659" s="334">
        <f t="shared" si="179"/>
        <v>1.2445999999999999</v>
      </c>
      <c r="G659" s="324" t="s">
        <v>295</v>
      </c>
      <c r="H659" s="221">
        <f>13+F661</f>
        <v>14.676399999999999</v>
      </c>
      <c r="I659" s="378">
        <f t="shared" si="168"/>
        <v>14.067996825396827</v>
      </c>
      <c r="J659" s="334">
        <f t="shared" si="180"/>
        <v>0.60840317460317195</v>
      </c>
      <c r="K659" s="343" t="str">
        <f t="shared" si="181"/>
        <v>no</v>
      </c>
      <c r="L659" s="378">
        <f t="shared" si="169"/>
        <v>12.823396825396829</v>
      </c>
      <c r="M659" s="391">
        <f t="shared" si="182"/>
        <v>-0.1766031746031711</v>
      </c>
      <c r="N659" s="378">
        <f t="shared" si="170"/>
        <v>0.44235153570447744</v>
      </c>
      <c r="O659" s="376">
        <f t="shared" si="171"/>
        <v>0.37837654259279019</v>
      </c>
      <c r="P659" s="343">
        <f t="shared" si="183"/>
        <v>5.1000000000000004E-2</v>
      </c>
      <c r="Q659" s="343">
        <f t="shared" si="184"/>
        <v>1.2954000000000001</v>
      </c>
      <c r="R659" s="324" t="s">
        <v>295</v>
      </c>
      <c r="S659" s="346">
        <f>13+Q661</f>
        <v>14.7272</v>
      </c>
      <c r="T659" s="378">
        <f t="shared" si="172"/>
        <v>14.372796825396829</v>
      </c>
      <c r="U659" s="378">
        <f t="shared" si="185"/>
        <v>0.35440317460317061</v>
      </c>
      <c r="V659" s="435" t="str">
        <f t="shared" si="186"/>
        <v>no</v>
      </c>
      <c r="W659" s="378">
        <f t="shared" si="173"/>
        <v>13.077396825396828</v>
      </c>
      <c r="X659" s="391">
        <f t="shared" si="187"/>
        <v>7.7396825396828461E-2</v>
      </c>
      <c r="Y659" s="378">
        <f t="shared" si="174"/>
        <v>0.49528205700857891</v>
      </c>
      <c r="Z659" s="376">
        <f t="shared" si="175"/>
        <v>0.42646102083323217</v>
      </c>
    </row>
    <row r="660" spans="1:26">
      <c r="A660" s="11" t="s">
        <v>244</v>
      </c>
      <c r="B660" s="449">
        <f t="shared" si="176"/>
        <v>5.1884139482564665E-2</v>
      </c>
      <c r="C660" s="436">
        <v>5.1999999999999998E-2</v>
      </c>
      <c r="D660" s="376">
        <f t="shared" si="177"/>
        <v>1.3208</v>
      </c>
      <c r="E660" s="334">
        <f t="shared" si="178"/>
        <v>5.0999999999999997E-2</v>
      </c>
      <c r="F660" s="334">
        <f t="shared" si="179"/>
        <v>1.2953999999999999</v>
      </c>
      <c r="G660" s="324" t="s">
        <v>295</v>
      </c>
      <c r="H660" s="221">
        <f>13+F661</f>
        <v>14.676399999999999</v>
      </c>
      <c r="I660" s="378">
        <f t="shared" si="168"/>
        <v>14.183114285714288</v>
      </c>
      <c r="J660" s="334">
        <f t="shared" si="180"/>
        <v>0.49328571428571166</v>
      </c>
      <c r="K660" s="343" t="str">
        <f t="shared" si="181"/>
        <v>no</v>
      </c>
      <c r="L660" s="378">
        <f t="shared" si="169"/>
        <v>12.887714285714287</v>
      </c>
      <c r="M660" s="391">
        <f t="shared" si="182"/>
        <v>-0.11228571428571321</v>
      </c>
      <c r="N660" s="378">
        <f t="shared" si="170"/>
        <v>0.45666980252171085</v>
      </c>
      <c r="O660" s="376">
        <f t="shared" si="171"/>
        <v>0.3932140634033629</v>
      </c>
      <c r="P660" s="343">
        <f t="shared" si="183"/>
        <v>5.2999999999999999E-2</v>
      </c>
      <c r="Q660" s="343">
        <f t="shared" si="184"/>
        <v>1.3461999999999998</v>
      </c>
      <c r="R660" s="324" t="s">
        <v>295</v>
      </c>
      <c r="S660" s="346">
        <f>13+Q661</f>
        <v>14.7272</v>
      </c>
      <c r="T660" s="378">
        <f t="shared" si="172"/>
        <v>14.487914285714288</v>
      </c>
      <c r="U660" s="378">
        <f t="shared" si="185"/>
        <v>0.2392857142857121</v>
      </c>
      <c r="V660" s="435" t="str">
        <f t="shared" si="186"/>
        <v>no</v>
      </c>
      <c r="W660" s="378">
        <f t="shared" si="173"/>
        <v>13.141714285714288</v>
      </c>
      <c r="X660" s="391">
        <f t="shared" si="187"/>
        <v>0.14171428571428812</v>
      </c>
      <c r="Y660" s="378">
        <f t="shared" si="174"/>
        <v>0.5121858422471518</v>
      </c>
      <c r="Z660" s="376">
        <f t="shared" si="175"/>
        <v>0.44370162622836756</v>
      </c>
    </row>
    <row r="661" spans="1:26">
      <c r="A661" s="11" t="s">
        <v>24</v>
      </c>
      <c r="B661" s="449">
        <f t="shared" si="176"/>
        <v>6.7240813648293957E-2</v>
      </c>
      <c r="C661" s="436">
        <v>6.7000000000000004E-2</v>
      </c>
      <c r="D661" s="376">
        <f t="shared" si="177"/>
        <v>1.7018</v>
      </c>
      <c r="E661" s="334">
        <f t="shared" si="178"/>
        <v>6.6000000000000003E-2</v>
      </c>
      <c r="F661" s="334">
        <f t="shared" si="179"/>
        <v>1.6763999999999999</v>
      </c>
      <c r="G661" s="324" t="s">
        <v>296</v>
      </c>
      <c r="H661" s="221">
        <f>13+F662</f>
        <v>15.311399999999999</v>
      </c>
      <c r="I661" s="378">
        <f t="shared" si="168"/>
        <v>14.550333333333334</v>
      </c>
      <c r="J661" s="334">
        <f t="shared" si="180"/>
        <v>0.76106666666666456</v>
      </c>
      <c r="K661" s="343" t="str">
        <f t="shared" si="181"/>
        <v>no</v>
      </c>
      <c r="L661" s="378">
        <f t="shared" si="169"/>
        <v>12.873933333333333</v>
      </c>
      <c r="M661" s="391">
        <f t="shared" si="182"/>
        <v>-0.12606666666666655</v>
      </c>
      <c r="N661" s="378">
        <f t="shared" si="170"/>
        <v>0.4608554214107351</v>
      </c>
      <c r="O661" s="376">
        <f t="shared" si="171"/>
        <v>0.41137201896863757</v>
      </c>
      <c r="P661" s="343">
        <f t="shared" si="183"/>
        <v>6.8000000000000005E-2</v>
      </c>
      <c r="Q661" s="343">
        <f t="shared" si="184"/>
        <v>1.7272000000000001</v>
      </c>
      <c r="R661" s="324" t="s">
        <v>296</v>
      </c>
      <c r="S661" s="346">
        <f>13+Q662</f>
        <v>15.3622</v>
      </c>
      <c r="T661" s="378">
        <f t="shared" si="172"/>
        <v>14.804333333333336</v>
      </c>
      <c r="U661" s="378">
        <f t="shared" si="185"/>
        <v>0.55786666666666385</v>
      </c>
      <c r="V661" s="435" t="str">
        <f t="shared" si="186"/>
        <v>no</v>
      </c>
      <c r="W661" s="378">
        <f t="shared" si="173"/>
        <v>13.077133333333334</v>
      </c>
      <c r="X661" s="391">
        <f t="shared" si="187"/>
        <v>7.7133333333334164E-2</v>
      </c>
      <c r="Y661" s="378">
        <f t="shared" si="174"/>
        <v>0.52831150557971418</v>
      </c>
      <c r="Z661" s="376">
        <f t="shared" si="175"/>
        <v>0.47325356729558465</v>
      </c>
    </row>
    <row r="662" spans="1:26">
      <c r="A662" s="11" t="s">
        <v>26</v>
      </c>
      <c r="B662" s="449">
        <f t="shared" si="176"/>
        <v>9.2331036745406853E-2</v>
      </c>
      <c r="C662" s="436">
        <v>9.1999999999999998E-2</v>
      </c>
      <c r="D662" s="376">
        <f t="shared" si="177"/>
        <v>2.3367999999999998</v>
      </c>
      <c r="E662" s="334">
        <f t="shared" si="178"/>
        <v>9.0999999999999998E-2</v>
      </c>
      <c r="F662" s="334">
        <f t="shared" si="179"/>
        <v>2.3113999999999999</v>
      </c>
      <c r="G662" s="324" t="s">
        <v>297</v>
      </c>
      <c r="H662" s="221">
        <f>13+F663</f>
        <v>16.047999999999998</v>
      </c>
      <c r="I662" s="378">
        <f t="shared" si="168"/>
        <v>15.209974999999996</v>
      </c>
      <c r="J662" s="334">
        <f t="shared" si="180"/>
        <v>0.8380250000000018</v>
      </c>
      <c r="K662" s="343" t="str">
        <f t="shared" si="181"/>
        <v>no</v>
      </c>
      <c r="L662" s="378">
        <f t="shared" si="169"/>
        <v>12.898574999999997</v>
      </c>
      <c r="M662" s="391">
        <f t="shared" si="182"/>
        <v>-0.10142500000000254</v>
      </c>
      <c r="N662" s="378">
        <f t="shared" si="170"/>
        <v>0.45589818523699094</v>
      </c>
      <c r="O662" s="376">
        <f t="shared" si="171"/>
        <v>0.42039516830238055</v>
      </c>
      <c r="P662" s="343">
        <f t="shared" si="183"/>
        <v>9.2999999999999999E-2</v>
      </c>
      <c r="Q662" s="343">
        <f t="shared" si="184"/>
        <v>2.3621999999999996</v>
      </c>
      <c r="R662" s="324" t="s">
        <v>297</v>
      </c>
      <c r="S662" s="346">
        <f>13+Q663</f>
        <v>16.098800000000001</v>
      </c>
      <c r="T662" s="378">
        <f t="shared" si="172"/>
        <v>15.413174999999995</v>
      </c>
      <c r="U662" s="378">
        <f t="shared" si="185"/>
        <v>0.68562500000000526</v>
      </c>
      <c r="V662" s="435" t="str">
        <f t="shared" si="186"/>
        <v>no</v>
      </c>
      <c r="W662" s="378">
        <f t="shared" si="173"/>
        <v>13.050974999999998</v>
      </c>
      <c r="X662" s="391">
        <f t="shared" si="187"/>
        <v>5.097499999999755E-2</v>
      </c>
      <c r="Y662" s="378">
        <f t="shared" si="174"/>
        <v>0.54299391424778609</v>
      </c>
      <c r="Z662" s="376">
        <f t="shared" si="175"/>
        <v>0.5016176952296667</v>
      </c>
    </row>
    <row r="663" spans="1:26">
      <c r="A663" s="11" t="s">
        <v>239</v>
      </c>
      <c r="B663" s="449">
        <f t="shared" si="176"/>
        <v>0.12110474827010266</v>
      </c>
      <c r="C663" s="436">
        <v>0.121</v>
      </c>
      <c r="D663" s="376">
        <f t="shared" si="177"/>
        <v>3.0733999999999999</v>
      </c>
      <c r="E663" s="334">
        <f t="shared" si="178"/>
        <v>0.12</v>
      </c>
      <c r="F663" s="334">
        <f t="shared" si="179"/>
        <v>3.0479999999999996</v>
      </c>
      <c r="G663" s="324" t="s">
        <v>298</v>
      </c>
      <c r="H663" s="221">
        <f>13+MIN(F664,F665)</f>
        <v>19.222999999999999</v>
      </c>
      <c r="I663" s="378">
        <f t="shared" si="168"/>
        <v>15.991878787878782</v>
      </c>
      <c r="J663" s="334">
        <f t="shared" si="180"/>
        <v>3.2311212121212165</v>
      </c>
      <c r="K663" s="343" t="str">
        <f t="shared" si="181"/>
        <v>no</v>
      </c>
      <c r="L663" s="378">
        <f t="shared" si="169"/>
        <v>12.943878787878784</v>
      </c>
      <c r="M663" s="391">
        <f t="shared" si="182"/>
        <v>-5.6121212121215791E-2</v>
      </c>
      <c r="N663" s="378">
        <f t="shared" si="170"/>
        <v>0.38119348457171454</v>
      </c>
      <c r="O663" s="376">
        <f t="shared" si="171"/>
        <v>0.3586820583174794</v>
      </c>
      <c r="P663" s="343">
        <f t="shared" si="183"/>
        <v>0.122</v>
      </c>
      <c r="Q663" s="343">
        <f t="shared" si="184"/>
        <v>3.0987999999999998</v>
      </c>
      <c r="R663" s="324" t="s">
        <v>298</v>
      </c>
      <c r="S663" s="346">
        <f>13+MIN(Q664,Q665)</f>
        <v>19.273800000000001</v>
      </c>
      <c r="T663" s="378">
        <f t="shared" si="172"/>
        <v>16.144278787878783</v>
      </c>
      <c r="U663" s="378">
        <f t="shared" si="185"/>
        <v>3.1295212121212188</v>
      </c>
      <c r="V663" s="435" t="str">
        <f t="shared" si="186"/>
        <v>no</v>
      </c>
      <c r="W663" s="378">
        <f t="shared" si="173"/>
        <v>13.045478787878785</v>
      </c>
      <c r="X663" s="391">
        <f t="shared" si="187"/>
        <v>4.5478787878785454E-2</v>
      </c>
      <c r="Y663" s="378">
        <f t="shared" si="174"/>
        <v>0.47507646907973233</v>
      </c>
      <c r="Z663" s="376">
        <f t="shared" si="175"/>
        <v>0.44748070154573466</v>
      </c>
    </row>
    <row r="664" spans="1:26">
      <c r="A664" s="11" t="s">
        <v>89</v>
      </c>
      <c r="B664" s="449">
        <f t="shared" si="176"/>
        <v>0.25018372703412078</v>
      </c>
      <c r="C664" s="436">
        <v>0.249</v>
      </c>
      <c r="D664" s="376">
        <f t="shared" si="177"/>
        <v>6.3245999999999993</v>
      </c>
      <c r="E664" s="334">
        <f t="shared" si="178"/>
        <v>0.248</v>
      </c>
      <c r="F664" s="334">
        <f t="shared" si="179"/>
        <v>6.2991999999999999</v>
      </c>
      <c r="G664" s="324" t="s">
        <v>299</v>
      </c>
      <c r="H664" s="221">
        <f>13+F646</f>
        <v>13.56134</v>
      </c>
      <c r="I664" s="378">
        <f>F664*L61+J61*B61+F646</f>
        <v>13.505873333333332</v>
      </c>
      <c r="J664" s="334">
        <f t="shared" si="180"/>
        <v>5.5466666666667663E-2</v>
      </c>
      <c r="K664" s="343" t="str">
        <f t="shared" si="181"/>
        <v>no</v>
      </c>
      <c r="L664" s="378">
        <f t="shared" si="169"/>
        <v>12.944533333333332</v>
      </c>
      <c r="M664" s="391">
        <f t="shared" si="182"/>
        <v>-5.5466666666667663E-2</v>
      </c>
      <c r="N664" s="378">
        <f t="shared" si="170"/>
        <v>0.4664044926626984</v>
      </c>
      <c r="O664" s="376">
        <f t="shared" si="171"/>
        <v>0.45307695762979172</v>
      </c>
      <c r="P664" s="343">
        <f t="shared" si="183"/>
        <v>0.25</v>
      </c>
      <c r="Q664" s="343">
        <f t="shared" si="184"/>
        <v>6.35</v>
      </c>
      <c r="R664" s="324" t="s">
        <v>299</v>
      </c>
      <c r="S664" s="346">
        <f>13+Q646</f>
        <v>13.61214</v>
      </c>
      <c r="T664" s="378">
        <f>Q664*L61+J61*B61+Q646</f>
        <v>13.607473333333331</v>
      </c>
      <c r="U664" s="378">
        <f t="shared" si="185"/>
        <v>4.6666666666688172E-3</v>
      </c>
      <c r="V664" s="435" t="str">
        <f t="shared" si="186"/>
        <v>no</v>
      </c>
      <c r="W664" s="378">
        <f t="shared" si="173"/>
        <v>12.995333333333331</v>
      </c>
      <c r="X664" s="391">
        <f t="shared" si="187"/>
        <v>-4.6666666666688172E-3</v>
      </c>
      <c r="Y664" s="378">
        <f t="shared" si="174"/>
        <v>0.48863694659621409</v>
      </c>
      <c r="Z664" s="376">
        <f t="shared" si="175"/>
        <v>0.47478582055096707</v>
      </c>
    </row>
    <row r="665" spans="1:26">
      <c r="A665" s="32" t="s">
        <v>245</v>
      </c>
      <c r="B665" s="434">
        <f t="shared" si="176"/>
        <v>0.24793307086614172</v>
      </c>
      <c r="C665" s="437">
        <v>0.246</v>
      </c>
      <c r="D665" s="386">
        <f t="shared" si="177"/>
        <v>6.2483999999999993</v>
      </c>
      <c r="E665" s="438">
        <f t="shared" si="178"/>
        <v>0.245</v>
      </c>
      <c r="F665" s="368">
        <f t="shared" si="179"/>
        <v>6.2229999999999999</v>
      </c>
      <c r="G665" s="368" t="s">
        <v>300</v>
      </c>
      <c r="H665" s="432">
        <f>13+F647</f>
        <v>13.56134</v>
      </c>
      <c r="I665" s="385">
        <f>F665*L62+J62*B62+F647</f>
        <v>13.486839999999999</v>
      </c>
      <c r="J665" s="368">
        <f t="shared" si="180"/>
        <v>7.4500000000000455E-2</v>
      </c>
      <c r="K665" s="342" t="str">
        <f t="shared" si="181"/>
        <v>no</v>
      </c>
      <c r="L665" s="385">
        <f t="shared" si="169"/>
        <v>12.9255</v>
      </c>
      <c r="M665" s="444">
        <f t="shared" si="182"/>
        <v>-7.4500000000000455E-2</v>
      </c>
      <c r="N665" s="385">
        <f t="shared" si="170"/>
        <v>0.46141275495223494</v>
      </c>
      <c r="O665" s="386">
        <f t="shared" si="171"/>
        <v>0.44806641140548864</v>
      </c>
      <c r="P665" s="357">
        <f t="shared" si="183"/>
        <v>0.247</v>
      </c>
      <c r="Q665" s="342">
        <f t="shared" si="184"/>
        <v>6.2737999999999996</v>
      </c>
      <c r="R665" s="368" t="s">
        <v>300</v>
      </c>
      <c r="S665" s="382">
        <f>13+Q647</f>
        <v>13.61214</v>
      </c>
      <c r="T665" s="385">
        <f>Q665*L62+J62*B62+Q647</f>
        <v>13.58844</v>
      </c>
      <c r="U665" s="385">
        <f t="shared" si="185"/>
        <v>2.3699999999999832E-2</v>
      </c>
      <c r="V665" s="442" t="str">
        <f t="shared" si="186"/>
        <v>no</v>
      </c>
      <c r="W665" s="385">
        <f t="shared" si="173"/>
        <v>12.9763</v>
      </c>
      <c r="X665" s="444">
        <f t="shared" si="187"/>
        <v>-2.3699999999999832E-2</v>
      </c>
      <c r="Y665" s="385">
        <f t="shared" si="174"/>
        <v>0.48348142382651443</v>
      </c>
      <c r="Z665" s="386">
        <f t="shared" si="175"/>
        <v>0.46960998127355252</v>
      </c>
    </row>
    <row r="666" spans="1:26">
      <c r="A666" s="343"/>
    </row>
    <row r="667" spans="1:26">
      <c r="A667" s="343"/>
    </row>
    <row r="668" spans="1:26">
      <c r="A668" s="343"/>
    </row>
    <row r="669" spans="1:26">
      <c r="A669" s="343"/>
    </row>
    <row r="670" spans="1:26">
      <c r="A670" s="343"/>
    </row>
    <row r="671" spans="1:26" s="57" customFormat="1" ht="26.25">
      <c r="A671" s="427" t="s">
        <v>344</v>
      </c>
      <c r="B671" s="126"/>
      <c r="C671" s="126"/>
      <c r="D671" s="126"/>
    </row>
    <row r="672" spans="1:26" s="57" customFormat="1">
      <c r="A672" s="428" t="s">
        <v>336</v>
      </c>
      <c r="B672" s="126">
        <f>0.0005</f>
        <v>5.0000000000000001E-4</v>
      </c>
      <c r="C672" s="126"/>
      <c r="D672" s="126"/>
    </row>
    <row r="673" spans="1:26" s="57" customFormat="1">
      <c r="A673" s="428"/>
      <c r="B673" s="126"/>
      <c r="C673" s="126"/>
      <c r="D673" s="126"/>
    </row>
    <row r="674" spans="1:26" ht="19.5">
      <c r="A674" s="778" t="s">
        <v>340</v>
      </c>
      <c r="B674" s="778"/>
      <c r="E674" s="392" t="s">
        <v>341</v>
      </c>
      <c r="P674" s="779" t="s">
        <v>339</v>
      </c>
      <c r="Q674" s="780"/>
    </row>
    <row r="675" spans="1:26">
      <c r="A675" s="11" t="s">
        <v>246</v>
      </c>
      <c r="B675" s="343" t="s">
        <v>256</v>
      </c>
      <c r="C675" s="436" t="s">
        <v>337</v>
      </c>
      <c r="D675" s="379"/>
      <c r="E675" s="335" t="s">
        <v>342</v>
      </c>
      <c r="F675" s="335"/>
      <c r="G675" s="335" t="s">
        <v>281</v>
      </c>
      <c r="H675" s="335" t="s">
        <v>277</v>
      </c>
      <c r="I675" s="335" t="s">
        <v>338</v>
      </c>
      <c r="J675" s="335" t="s">
        <v>275</v>
      </c>
      <c r="K675" s="343"/>
      <c r="L675" s="335" t="s">
        <v>320</v>
      </c>
      <c r="M675" s="443" t="s">
        <v>348</v>
      </c>
      <c r="N675" s="398" t="s">
        <v>271</v>
      </c>
      <c r="O675" s="429" t="s">
        <v>271</v>
      </c>
      <c r="P675" s="335" t="s">
        <v>342</v>
      </c>
      <c r="Q675" s="335"/>
      <c r="R675" s="335" t="s">
        <v>281</v>
      </c>
      <c r="S675" s="335" t="s">
        <v>277</v>
      </c>
      <c r="T675" s="335" t="s">
        <v>338</v>
      </c>
      <c r="U675" s="335" t="s">
        <v>275</v>
      </c>
      <c r="V675" s="343"/>
      <c r="W675" s="335" t="s">
        <v>320</v>
      </c>
      <c r="X675" s="443" t="s">
        <v>348</v>
      </c>
      <c r="Y675" s="398" t="s">
        <v>271</v>
      </c>
      <c r="Z675" s="429" t="s">
        <v>271</v>
      </c>
    </row>
    <row r="676" spans="1:26">
      <c r="A676" s="32"/>
      <c r="B676" s="342" t="s">
        <v>112</v>
      </c>
      <c r="C676" s="437" t="s">
        <v>112</v>
      </c>
      <c r="D676" s="393" t="s">
        <v>113</v>
      </c>
      <c r="E676" s="342" t="s">
        <v>112</v>
      </c>
      <c r="F676" s="342" t="s">
        <v>113</v>
      </c>
      <c r="G676" s="430" t="s">
        <v>282</v>
      </c>
      <c r="H676" s="430" t="s">
        <v>113</v>
      </c>
      <c r="I676" s="431" t="s">
        <v>113</v>
      </c>
      <c r="J676" s="395" t="s">
        <v>113</v>
      </c>
      <c r="K676" s="395" t="s">
        <v>346</v>
      </c>
      <c r="L676" s="342" t="s">
        <v>113</v>
      </c>
      <c r="M676" s="437" t="s">
        <v>113</v>
      </c>
      <c r="N676" s="342" t="s">
        <v>307</v>
      </c>
      <c r="O676" s="393" t="s">
        <v>309</v>
      </c>
      <c r="P676" s="342" t="s">
        <v>112</v>
      </c>
      <c r="Q676" s="342" t="s">
        <v>113</v>
      </c>
      <c r="R676" s="430" t="s">
        <v>282</v>
      </c>
      <c r="S676" s="430" t="s">
        <v>113</v>
      </c>
      <c r="T676" s="431" t="s">
        <v>113</v>
      </c>
      <c r="U676" s="395" t="s">
        <v>113</v>
      </c>
      <c r="V676" s="395" t="s">
        <v>345</v>
      </c>
      <c r="W676" s="342" t="s">
        <v>113</v>
      </c>
      <c r="X676" s="437" t="s">
        <v>113</v>
      </c>
      <c r="Y676" s="342" t="s">
        <v>307</v>
      </c>
      <c r="Z676" s="393" t="s">
        <v>309</v>
      </c>
    </row>
    <row r="677" spans="1:26">
      <c r="B677" s="343"/>
      <c r="C677" s="436"/>
      <c r="D677" s="379"/>
      <c r="E677" s="343"/>
      <c r="F677" s="343"/>
      <c r="G677" s="222"/>
      <c r="H677" s="222"/>
      <c r="I677" s="343"/>
      <c r="J677" s="343"/>
      <c r="K677" s="343"/>
      <c r="L677" s="343"/>
      <c r="M677" s="347"/>
      <c r="N677" s="343"/>
      <c r="O677" s="379"/>
      <c r="P677" s="343"/>
      <c r="Q677" s="343"/>
      <c r="R677" s="343"/>
      <c r="S677" s="343"/>
      <c r="T677" s="343"/>
      <c r="U677" s="343"/>
      <c r="V677" s="343"/>
      <c r="W677" s="343"/>
      <c r="X677" s="347"/>
      <c r="Y677" s="343"/>
      <c r="Z677" s="344"/>
    </row>
    <row r="678" spans="1:26">
      <c r="A678" s="66" t="s">
        <v>6</v>
      </c>
      <c r="B678" s="433">
        <f>N43</f>
        <v>2.4251968503937012E-2</v>
      </c>
      <c r="C678" s="436">
        <v>2.3599999999999999E-2</v>
      </c>
      <c r="D678" s="376">
        <f>C678*25.4</f>
        <v>0.59943999999999997</v>
      </c>
      <c r="E678" s="343">
        <f>C678-0.0005</f>
        <v>2.3099999999999999E-2</v>
      </c>
      <c r="F678" s="378">
        <f>E678*25.4</f>
        <v>0.58673999999999993</v>
      </c>
      <c r="G678" s="324" t="s">
        <v>283</v>
      </c>
      <c r="H678" s="221">
        <f>13+F680</f>
        <v>13.563879999999999</v>
      </c>
      <c r="I678" s="378">
        <f t="shared" ref="I678:I697" si="188">F678*L43+B43*J43</f>
        <v>13.206359999999997</v>
      </c>
      <c r="J678" s="334">
        <f>H678-I678</f>
        <v>0.35752000000000272</v>
      </c>
      <c r="K678" s="343" t="str">
        <f>IF(J678&lt;0,"yes","no")</f>
        <v>no</v>
      </c>
      <c r="L678" s="378">
        <f t="shared" ref="L678:L697" si="189">(F678+J43)*B43</f>
        <v>12.619619999999996</v>
      </c>
      <c r="M678" s="391">
        <f>L678-13</f>
        <v>-0.38038000000000416</v>
      </c>
      <c r="N678" s="378">
        <f t="shared" ref="N678:N697" si="190">F678/(L678/B43)</f>
        <v>0.604425489832499</v>
      </c>
      <c r="O678" s="376">
        <f t="shared" ref="O678:O697" si="191">(F678-0.18)/(L678/B43)</f>
        <v>0.41899993819148285</v>
      </c>
      <c r="P678" s="343">
        <f>C678+$B$672</f>
        <v>2.41E-2</v>
      </c>
      <c r="Q678" s="378">
        <f>P678*25.4</f>
        <v>0.61214000000000002</v>
      </c>
      <c r="R678" s="324" t="s">
        <v>283</v>
      </c>
      <c r="S678" s="221">
        <f>13+Q680</f>
        <v>13.58928</v>
      </c>
      <c r="T678" s="378">
        <f t="shared" ref="T678:T697" si="192">Q678*L43+J43*B43</f>
        <v>13.561959999999999</v>
      </c>
      <c r="U678" s="334">
        <f>S678-T678</f>
        <v>2.7320000000001343E-2</v>
      </c>
      <c r="V678" s="435" t="str">
        <f>IF(U678&lt;0, "yes", "no")</f>
        <v>no</v>
      </c>
      <c r="W678" s="378">
        <f t="shared" ref="W678:W697" si="193">(Q678+J43)*B43</f>
        <v>12.949819999999997</v>
      </c>
      <c r="X678" s="391">
        <f>W678-13</f>
        <v>-5.0180000000002778E-2</v>
      </c>
      <c r="Y678" s="378">
        <f t="shared" ref="Y678:Y697" si="194">Q678/(W678/B43)</f>
        <v>0.61451201638323949</v>
      </c>
      <c r="Z678" s="376">
        <f t="shared" ref="Z678:Z697" si="195">(Q678-0.18)/(W678/B43)</f>
        <v>0.43381452406288284</v>
      </c>
    </row>
    <row r="679" spans="1:26">
      <c r="A679" s="66" t="s">
        <v>164</v>
      </c>
      <c r="B679" s="433">
        <f t="shared" ref="B679:B697" si="196">N44</f>
        <v>2.4219386369807222E-2</v>
      </c>
      <c r="C679" s="436">
        <v>2.3599999999999999E-2</v>
      </c>
      <c r="D679" s="376">
        <f t="shared" ref="D679:D697" si="197">C679*25.4</f>
        <v>0.59943999999999997</v>
      </c>
      <c r="E679" s="343">
        <f t="shared" ref="E679:E697" si="198">C679-0.0005</f>
        <v>2.3099999999999999E-2</v>
      </c>
      <c r="F679" s="378">
        <f t="shared" ref="F679:F697" si="199">E679*25.4</f>
        <v>0.58673999999999993</v>
      </c>
      <c r="G679" s="324" t="s">
        <v>284</v>
      </c>
      <c r="H679" s="221">
        <f>13+F681</f>
        <v>13.55118</v>
      </c>
      <c r="I679" s="378">
        <f t="shared" si="188"/>
        <v>13.217118620689655</v>
      </c>
      <c r="J679" s="334">
        <f t="shared" ref="J679:J697" si="200">H679-I679</f>
        <v>0.33406137931034507</v>
      </c>
      <c r="K679" s="343" t="str">
        <f t="shared" ref="K679:K697" si="201">IF(J679&lt;0,"yes","no")</f>
        <v>no</v>
      </c>
      <c r="L679" s="378">
        <f t="shared" si="189"/>
        <v>12.630378620689655</v>
      </c>
      <c r="M679" s="391">
        <f t="shared" ref="M679:M697" si="202">L679-13</f>
        <v>-0.36962137931034533</v>
      </c>
      <c r="N679" s="378">
        <f t="shared" si="190"/>
        <v>0.60391063712890569</v>
      </c>
      <c r="O679" s="376">
        <f t="shared" si="191"/>
        <v>0.41864303191500685</v>
      </c>
      <c r="P679" s="343">
        <f t="shared" ref="P679:P697" si="203">C679+$B$672</f>
        <v>2.41E-2</v>
      </c>
      <c r="Q679" s="378">
        <f t="shared" ref="Q679:Q697" si="204">P679*25.4</f>
        <v>0.61214000000000002</v>
      </c>
      <c r="R679" s="324" t="s">
        <v>284</v>
      </c>
      <c r="S679" s="221">
        <f>13+Q681</f>
        <v>13.57658</v>
      </c>
      <c r="T679" s="378">
        <f t="shared" si="192"/>
        <v>13.572718620689656</v>
      </c>
      <c r="U679" s="334">
        <f t="shared" ref="U679:U697" si="205">S679-T679</f>
        <v>3.8613793103436933E-3</v>
      </c>
      <c r="V679" s="435" t="str">
        <f t="shared" ref="V679:V697" si="206">IF(U679&lt;0, "yes", "no")</f>
        <v>no</v>
      </c>
      <c r="W679" s="378">
        <f t="shared" si="193"/>
        <v>12.960578620689656</v>
      </c>
      <c r="X679" s="391">
        <f t="shared" ref="X679:X697" si="207">W679-13</f>
        <v>-3.9421379310343951E-2</v>
      </c>
      <c r="Y679" s="378">
        <f t="shared" si="194"/>
        <v>0.61400190785436937</v>
      </c>
      <c r="Z679" s="376">
        <f t="shared" si="195"/>
        <v>0.43345441314109062</v>
      </c>
    </row>
    <row r="680" spans="1:26">
      <c r="A680" s="66" t="s">
        <v>9</v>
      </c>
      <c r="B680" s="433">
        <f t="shared" si="196"/>
        <v>2.2947983774755456E-2</v>
      </c>
      <c r="C680" s="436">
        <v>2.2700000000000001E-2</v>
      </c>
      <c r="D680" s="376">
        <f t="shared" si="197"/>
        <v>0.57657999999999998</v>
      </c>
      <c r="E680" s="343">
        <f t="shared" si="198"/>
        <v>2.2200000000000001E-2</v>
      </c>
      <c r="F680" s="378">
        <f t="shared" si="199"/>
        <v>0.56388000000000005</v>
      </c>
      <c r="G680" s="324" t="s">
        <v>286</v>
      </c>
      <c r="H680" s="221">
        <f>13+F682</f>
        <v>13.665480000000001</v>
      </c>
      <c r="I680" s="378">
        <f t="shared" si="188"/>
        <v>13.335894545454536</v>
      </c>
      <c r="J680" s="334">
        <f t="shared" si="200"/>
        <v>0.32958545454546417</v>
      </c>
      <c r="K680" s="343" t="str">
        <f t="shared" si="201"/>
        <v>no</v>
      </c>
      <c r="L680" s="378">
        <f t="shared" si="189"/>
        <v>12.772014545454537</v>
      </c>
      <c r="M680" s="391">
        <f t="shared" si="202"/>
        <v>-0.22798545454546293</v>
      </c>
      <c r="N680" s="378">
        <f t="shared" si="190"/>
        <v>0.52979582632938416</v>
      </c>
      <c r="O680" s="376">
        <f t="shared" si="191"/>
        <v>0.36067606904186</v>
      </c>
      <c r="P680" s="343">
        <f t="shared" si="203"/>
        <v>2.3200000000000002E-2</v>
      </c>
      <c r="Q680" s="378">
        <f t="shared" si="204"/>
        <v>0.58928000000000003</v>
      </c>
      <c r="R680" s="324" t="s">
        <v>286</v>
      </c>
      <c r="S680" s="221">
        <f>13+Q682</f>
        <v>13.69088</v>
      </c>
      <c r="T680" s="378">
        <f t="shared" si="192"/>
        <v>13.666094545454538</v>
      </c>
      <c r="U680" s="334">
        <f t="shared" si="205"/>
        <v>2.4785454545462215E-2</v>
      </c>
      <c r="V680" s="435" t="str">
        <f t="shared" si="206"/>
        <v>no</v>
      </c>
      <c r="W680" s="378">
        <f t="shared" si="193"/>
        <v>13.076814545454535</v>
      </c>
      <c r="X680" s="391">
        <f t="shared" si="207"/>
        <v>7.6814545454535477E-2</v>
      </c>
      <c r="Y680" s="378">
        <f t="shared" si="194"/>
        <v>0.54075554680539428</v>
      </c>
      <c r="Z680" s="376">
        <f t="shared" si="195"/>
        <v>0.37557770532940499</v>
      </c>
    </row>
    <row r="681" spans="1:26">
      <c r="A681" s="66" t="s">
        <v>165</v>
      </c>
      <c r="B681" s="433">
        <f t="shared" si="196"/>
        <v>2.2399801376179307E-2</v>
      </c>
      <c r="C681" s="436">
        <v>2.2200000000000001E-2</v>
      </c>
      <c r="D681" s="376">
        <f t="shared" si="197"/>
        <v>0.56388000000000005</v>
      </c>
      <c r="E681" s="343">
        <f t="shared" si="198"/>
        <v>2.1700000000000001E-2</v>
      </c>
      <c r="F681" s="378">
        <f t="shared" si="199"/>
        <v>0.55118</v>
      </c>
      <c r="G681" s="324" t="s">
        <v>285</v>
      </c>
      <c r="H681" s="221">
        <f>13+F683</f>
        <v>13.65278</v>
      </c>
      <c r="I681" s="378">
        <f t="shared" si="188"/>
        <v>13.337880540540546</v>
      </c>
      <c r="J681" s="334">
        <f t="shared" si="200"/>
        <v>0.31489945945945408</v>
      </c>
      <c r="K681" s="343" t="str">
        <f t="shared" si="201"/>
        <v>no</v>
      </c>
      <c r="L681" s="378">
        <f t="shared" si="189"/>
        <v>12.786700540540547</v>
      </c>
      <c r="M681" s="391">
        <f t="shared" si="202"/>
        <v>-0.21329945945945283</v>
      </c>
      <c r="N681" s="378">
        <f t="shared" si="190"/>
        <v>0.51726870266724745</v>
      </c>
      <c r="O681" s="376">
        <f t="shared" si="191"/>
        <v>0.34834318563088085</v>
      </c>
      <c r="P681" s="343">
        <f t="shared" si="203"/>
        <v>2.2700000000000001E-2</v>
      </c>
      <c r="Q681" s="378">
        <f t="shared" si="204"/>
        <v>0.57657999999999998</v>
      </c>
      <c r="R681" s="324" t="s">
        <v>285</v>
      </c>
      <c r="S681" s="221">
        <f>13+Q683</f>
        <v>13.678179999999999</v>
      </c>
      <c r="T681" s="378">
        <f t="shared" si="192"/>
        <v>13.668080540540547</v>
      </c>
      <c r="U681" s="334">
        <f t="shared" si="205"/>
        <v>1.009945945945212E-2</v>
      </c>
      <c r="V681" s="435" t="str">
        <f t="shared" si="206"/>
        <v>no</v>
      </c>
      <c r="W681" s="378">
        <f t="shared" si="193"/>
        <v>13.091500540540547</v>
      </c>
      <c r="X681" s="391">
        <f t="shared" si="207"/>
        <v>9.1500540540547348E-2</v>
      </c>
      <c r="Y681" s="378">
        <f t="shared" si="194"/>
        <v>0.52850778858955128</v>
      </c>
      <c r="Z681" s="376">
        <f t="shared" si="195"/>
        <v>0.36351524298249027</v>
      </c>
    </row>
    <row r="682" spans="1:26">
      <c r="A682" s="66" t="s">
        <v>11</v>
      </c>
      <c r="B682" s="433">
        <f t="shared" si="196"/>
        <v>2.6825340014316426E-2</v>
      </c>
      <c r="C682" s="436">
        <v>2.6700000000000002E-2</v>
      </c>
      <c r="D682" s="376">
        <f t="shared" si="197"/>
        <v>0.67818000000000001</v>
      </c>
      <c r="E682" s="343">
        <f t="shared" si="198"/>
        <v>2.6200000000000001E-2</v>
      </c>
      <c r="F682" s="378">
        <f t="shared" si="199"/>
        <v>0.66547999999999996</v>
      </c>
      <c r="G682" s="324" t="s">
        <v>287</v>
      </c>
      <c r="H682" s="221">
        <f>13+F684</f>
        <v>13.774699999999999</v>
      </c>
      <c r="I682" s="378">
        <f t="shared" si="188"/>
        <v>13.490759999999991</v>
      </c>
      <c r="J682" s="334">
        <f t="shared" si="200"/>
        <v>0.2839400000000083</v>
      </c>
      <c r="K682" s="343" t="str">
        <f t="shared" si="201"/>
        <v>no</v>
      </c>
      <c r="L682" s="378">
        <f t="shared" si="189"/>
        <v>12.825279999999992</v>
      </c>
      <c r="M682" s="391">
        <f t="shared" si="202"/>
        <v>-0.17472000000000776</v>
      </c>
      <c r="N682" s="378">
        <f t="shared" si="190"/>
        <v>0.57076960503006602</v>
      </c>
      <c r="O682" s="376">
        <f t="shared" si="191"/>
        <v>0.41638701065395867</v>
      </c>
      <c r="P682" s="343">
        <f t="shared" si="203"/>
        <v>2.7200000000000002E-2</v>
      </c>
      <c r="Q682" s="378">
        <f t="shared" si="204"/>
        <v>0.69088000000000005</v>
      </c>
      <c r="R682" s="324" t="s">
        <v>287</v>
      </c>
      <c r="S682" s="221">
        <f>13+Q684</f>
        <v>13.8001</v>
      </c>
      <c r="T682" s="378">
        <f t="shared" si="192"/>
        <v>13.795559999999993</v>
      </c>
      <c r="U682" s="334">
        <f t="shared" si="205"/>
        <v>4.540000000007538E-3</v>
      </c>
      <c r="V682" s="435" t="str">
        <f t="shared" si="206"/>
        <v>no</v>
      </c>
      <c r="W682" s="378">
        <f t="shared" si="193"/>
        <v>13.104679999999993</v>
      </c>
      <c r="X682" s="391">
        <f t="shared" si="207"/>
        <v>0.104679999999993</v>
      </c>
      <c r="Y682" s="378">
        <f t="shared" si="194"/>
        <v>0.57992106636713026</v>
      </c>
      <c r="Z682" s="376">
        <f t="shared" si="195"/>
        <v>0.42883000576893165</v>
      </c>
    </row>
    <row r="683" spans="1:26">
      <c r="A683" s="66" t="s">
        <v>226</v>
      </c>
      <c r="B683" s="433">
        <f t="shared" si="196"/>
        <v>2.6277157615740277E-2</v>
      </c>
      <c r="C683" s="436">
        <v>2.6200000000000001E-2</v>
      </c>
      <c r="D683" s="376">
        <f t="shared" si="197"/>
        <v>0.66547999999999996</v>
      </c>
      <c r="E683" s="343">
        <f t="shared" si="198"/>
        <v>2.5700000000000001E-2</v>
      </c>
      <c r="F683" s="378">
        <f t="shared" si="199"/>
        <v>0.65278000000000003</v>
      </c>
      <c r="G683" s="324" t="s">
        <v>287</v>
      </c>
      <c r="H683" s="221">
        <f>13+F684</f>
        <v>13.774699999999999</v>
      </c>
      <c r="I683" s="378">
        <f t="shared" si="188"/>
        <v>13.491522162162168</v>
      </c>
      <c r="J683" s="334">
        <f t="shared" si="200"/>
        <v>0.28317783783783135</v>
      </c>
      <c r="K683" s="343" t="str">
        <f t="shared" si="201"/>
        <v>no</v>
      </c>
      <c r="L683" s="378">
        <f t="shared" si="189"/>
        <v>12.83874216216217</v>
      </c>
      <c r="M683" s="391">
        <f t="shared" si="202"/>
        <v>-0.16125783783783021</v>
      </c>
      <c r="N683" s="378">
        <f t="shared" si="190"/>
        <v>0.55928999190920126</v>
      </c>
      <c r="O683" s="376">
        <f t="shared" si="191"/>
        <v>0.4050692765936949</v>
      </c>
      <c r="P683" s="343">
        <f t="shared" si="203"/>
        <v>2.6700000000000002E-2</v>
      </c>
      <c r="Q683" s="378">
        <f t="shared" si="204"/>
        <v>0.67818000000000001</v>
      </c>
      <c r="R683" s="324" t="s">
        <v>287</v>
      </c>
      <c r="S683" s="221">
        <f>13+Q684</f>
        <v>13.8001</v>
      </c>
      <c r="T683" s="378">
        <f t="shared" si="192"/>
        <v>13.796322162162166</v>
      </c>
      <c r="U683" s="334">
        <f t="shared" si="205"/>
        <v>3.7778378378341415E-3</v>
      </c>
      <c r="V683" s="435" t="str">
        <f t="shared" si="206"/>
        <v>no</v>
      </c>
      <c r="W683" s="378">
        <f t="shared" si="193"/>
        <v>13.118142162162167</v>
      </c>
      <c r="X683" s="391">
        <f t="shared" si="207"/>
        <v>0.118142162162167</v>
      </c>
      <c r="Y683" s="378">
        <f t="shared" si="194"/>
        <v>0.56867656317351767</v>
      </c>
      <c r="Z683" s="376">
        <f t="shared" si="195"/>
        <v>0.41774055596122422</v>
      </c>
    </row>
    <row r="684" spans="1:26">
      <c r="A684" s="11" t="s">
        <v>13</v>
      </c>
      <c r="B684" s="433">
        <f t="shared" si="196"/>
        <v>3.1478167501789583E-2</v>
      </c>
      <c r="C684" s="436">
        <v>3.1E-2</v>
      </c>
      <c r="D684" s="376">
        <f t="shared" si="197"/>
        <v>0.78739999999999999</v>
      </c>
      <c r="E684" s="343">
        <f t="shared" si="198"/>
        <v>3.0499999999999999E-2</v>
      </c>
      <c r="F684" s="378">
        <f t="shared" si="199"/>
        <v>0.77469999999999994</v>
      </c>
      <c r="G684" s="324" t="s">
        <v>288</v>
      </c>
      <c r="H684" s="221">
        <f>13+F685</f>
        <v>13.792479999999999</v>
      </c>
      <c r="I684" s="378">
        <f t="shared" si="188"/>
        <v>13.526245454545446</v>
      </c>
      <c r="J684" s="334">
        <f t="shared" si="200"/>
        <v>0.26623454545455338</v>
      </c>
      <c r="K684" s="343" t="str">
        <f t="shared" si="201"/>
        <v>no</v>
      </c>
      <c r="L684" s="378">
        <f t="shared" si="189"/>
        <v>12.751545454545447</v>
      </c>
      <c r="M684" s="391">
        <f t="shared" si="202"/>
        <v>-0.24845454545455326</v>
      </c>
      <c r="N684" s="378">
        <f t="shared" si="190"/>
        <v>0.60753420262784574</v>
      </c>
      <c r="O684" s="376">
        <f t="shared" si="191"/>
        <v>0.46637484226510895</v>
      </c>
      <c r="P684" s="343">
        <f t="shared" si="203"/>
        <v>3.15E-2</v>
      </c>
      <c r="Q684" s="378">
        <f t="shared" si="204"/>
        <v>0.80009999999999992</v>
      </c>
      <c r="R684" s="324" t="s">
        <v>288</v>
      </c>
      <c r="S684" s="221">
        <f>13+Q685</f>
        <v>13.817880000000001</v>
      </c>
      <c r="T684" s="378">
        <f t="shared" si="192"/>
        <v>13.805645454545447</v>
      </c>
      <c r="U684" s="334">
        <f t="shared" si="205"/>
        <v>1.2234545454553825E-2</v>
      </c>
      <c r="V684" s="435" t="str">
        <f t="shared" si="206"/>
        <v>no</v>
      </c>
      <c r="W684" s="378">
        <f t="shared" si="193"/>
        <v>13.005545454545446</v>
      </c>
      <c r="X684" s="391">
        <f t="shared" si="207"/>
        <v>5.5454545454463045E-3</v>
      </c>
      <c r="Y684" s="378">
        <f t="shared" si="194"/>
        <v>0.61519911086879053</v>
      </c>
      <c r="Z684" s="376">
        <f t="shared" si="195"/>
        <v>0.47679661123576678</v>
      </c>
    </row>
    <row r="685" spans="1:26">
      <c r="A685" s="11" t="s">
        <v>15</v>
      </c>
      <c r="B685" s="433">
        <f t="shared" si="196"/>
        <v>3.2027559055118122E-2</v>
      </c>
      <c r="C685" s="436">
        <v>3.1699999999999999E-2</v>
      </c>
      <c r="D685" s="376">
        <f t="shared" si="197"/>
        <v>0.8051799999999999</v>
      </c>
      <c r="E685" s="343">
        <f t="shared" si="198"/>
        <v>3.1199999999999999E-2</v>
      </c>
      <c r="F685" s="378">
        <f t="shared" si="199"/>
        <v>0.79247999999999996</v>
      </c>
      <c r="G685" s="324" t="s">
        <v>289</v>
      </c>
      <c r="H685" s="221">
        <f>13+F686</f>
        <v>13.84328</v>
      </c>
      <c r="I685" s="378">
        <f t="shared" si="188"/>
        <v>13.603299999999997</v>
      </c>
      <c r="J685" s="334">
        <f t="shared" si="200"/>
        <v>0.23998000000000275</v>
      </c>
      <c r="K685" s="343" t="str">
        <f t="shared" si="201"/>
        <v>no</v>
      </c>
      <c r="L685" s="378">
        <f t="shared" si="189"/>
        <v>12.810819999999998</v>
      </c>
      <c r="M685" s="391">
        <f t="shared" si="202"/>
        <v>-0.18918000000000212</v>
      </c>
      <c r="N685" s="378">
        <f t="shared" si="190"/>
        <v>0.55674187913029771</v>
      </c>
      <c r="O685" s="376">
        <f t="shared" si="191"/>
        <v>0.43028627363431854</v>
      </c>
      <c r="P685" s="343">
        <f t="shared" si="203"/>
        <v>3.2199999999999999E-2</v>
      </c>
      <c r="Q685" s="378">
        <f t="shared" si="204"/>
        <v>0.81787999999999994</v>
      </c>
      <c r="R685" s="324" t="s">
        <v>289</v>
      </c>
      <c r="S685" s="221">
        <f>13+Q686</f>
        <v>13.868679999999999</v>
      </c>
      <c r="T685" s="378">
        <f t="shared" si="192"/>
        <v>13.857299999999997</v>
      </c>
      <c r="U685" s="334">
        <f t="shared" si="205"/>
        <v>1.138000000000261E-2</v>
      </c>
      <c r="V685" s="435" t="str">
        <f t="shared" si="206"/>
        <v>no</v>
      </c>
      <c r="W685" s="378">
        <f t="shared" si="193"/>
        <v>13.039419999999996</v>
      </c>
      <c r="X685" s="391">
        <f t="shared" si="207"/>
        <v>3.9419999999996236E-2</v>
      </c>
      <c r="Y685" s="378">
        <f t="shared" si="194"/>
        <v>0.56451283876123337</v>
      </c>
      <c r="Z685" s="376">
        <f t="shared" si="195"/>
        <v>0.44027418397444074</v>
      </c>
    </row>
    <row r="686" spans="1:26">
      <c r="A686" s="11" t="s">
        <v>17</v>
      </c>
      <c r="B686" s="433">
        <f t="shared" si="196"/>
        <v>3.3750468691413571E-2</v>
      </c>
      <c r="C686" s="436">
        <v>3.3700000000000001E-2</v>
      </c>
      <c r="D686" s="376">
        <f t="shared" si="197"/>
        <v>0.85597999999999996</v>
      </c>
      <c r="E686" s="343">
        <f t="shared" si="198"/>
        <v>3.32E-2</v>
      </c>
      <c r="F686" s="378">
        <f t="shared" si="199"/>
        <v>0.84327999999999992</v>
      </c>
      <c r="G686" s="324" t="s">
        <v>292</v>
      </c>
      <c r="H686" s="221">
        <f>13+MIN(F687,F688)</f>
        <v>13.952500000000001</v>
      </c>
      <c r="I686" s="378">
        <f t="shared" si="188"/>
        <v>13.731424761904762</v>
      </c>
      <c r="J686" s="334">
        <f t="shared" si="200"/>
        <v>0.22107523809523855</v>
      </c>
      <c r="K686" s="343" t="str">
        <f t="shared" si="201"/>
        <v>no</v>
      </c>
      <c r="L686" s="378">
        <f t="shared" si="189"/>
        <v>12.888144761904762</v>
      </c>
      <c r="M686" s="391">
        <f t="shared" si="202"/>
        <v>-0.11185523809523801</v>
      </c>
      <c r="N686" s="378">
        <f t="shared" si="190"/>
        <v>0.52344539300495574</v>
      </c>
      <c r="O686" s="376">
        <f t="shared" si="191"/>
        <v>0.41171480442122071</v>
      </c>
      <c r="P686" s="343">
        <f t="shared" si="203"/>
        <v>3.4200000000000001E-2</v>
      </c>
      <c r="Q686" s="378">
        <f t="shared" si="204"/>
        <v>0.86868000000000001</v>
      </c>
      <c r="R686" s="324" t="s">
        <v>292</v>
      </c>
      <c r="S686" s="221">
        <f>13+MIN(Q687,Q688)</f>
        <v>13.9779</v>
      </c>
      <c r="T686" s="378">
        <f t="shared" si="192"/>
        <v>13.960024761904762</v>
      </c>
      <c r="U686" s="334">
        <f t="shared" si="205"/>
        <v>1.7875238095237833E-2</v>
      </c>
      <c r="V686" s="435" t="str">
        <f t="shared" si="206"/>
        <v>no</v>
      </c>
      <c r="W686" s="378">
        <f t="shared" si="193"/>
        <v>13.091344761904763</v>
      </c>
      <c r="X686" s="391">
        <f t="shared" si="207"/>
        <v>9.1344761904762706E-2</v>
      </c>
      <c r="Y686" s="378">
        <f t="shared" si="194"/>
        <v>0.53084233334245112</v>
      </c>
      <c r="Z686" s="376">
        <f t="shared" si="195"/>
        <v>0.42084599406718154</v>
      </c>
    </row>
    <row r="687" spans="1:26">
      <c r="A687" s="11" t="s">
        <v>19</v>
      </c>
      <c r="B687" s="433">
        <f t="shared" si="196"/>
        <v>3.7962991112597495E-2</v>
      </c>
      <c r="C687" s="436">
        <v>3.7999999999999999E-2</v>
      </c>
      <c r="D687" s="376">
        <f t="shared" si="197"/>
        <v>0.96519999999999995</v>
      </c>
      <c r="E687" s="343">
        <f t="shared" si="198"/>
        <v>3.7499999999999999E-2</v>
      </c>
      <c r="F687" s="378">
        <f t="shared" si="199"/>
        <v>0.9524999999999999</v>
      </c>
      <c r="G687" s="324" t="s">
        <v>290</v>
      </c>
      <c r="H687" s="221">
        <f>13+F689</f>
        <v>14.1303</v>
      </c>
      <c r="I687" s="378">
        <f t="shared" si="188"/>
        <v>13.870180180180165</v>
      </c>
      <c r="J687" s="334">
        <f t="shared" si="200"/>
        <v>0.26011981981983467</v>
      </c>
      <c r="K687" s="343" t="str">
        <f t="shared" si="201"/>
        <v>no</v>
      </c>
      <c r="L687" s="378">
        <f t="shared" si="189"/>
        <v>12.917680180180167</v>
      </c>
      <c r="M687" s="391">
        <f t="shared" si="202"/>
        <v>-8.2319819819833384E-2</v>
      </c>
      <c r="N687" s="378">
        <f t="shared" si="190"/>
        <v>0.51615304814792262</v>
      </c>
      <c r="O687" s="376">
        <f t="shared" si="191"/>
        <v>0.41861231463965382</v>
      </c>
      <c r="P687" s="343">
        <f t="shared" si="203"/>
        <v>3.85E-2</v>
      </c>
      <c r="Q687" s="378">
        <f t="shared" si="204"/>
        <v>0.97789999999999988</v>
      </c>
      <c r="R687" s="324" t="s">
        <v>290</v>
      </c>
      <c r="S687" s="221">
        <f>13+Q689</f>
        <v>14.1557</v>
      </c>
      <c r="T687" s="378">
        <f t="shared" si="192"/>
        <v>14.073380180180166</v>
      </c>
      <c r="U687" s="334">
        <f t="shared" si="205"/>
        <v>8.2319819819833384E-2</v>
      </c>
      <c r="V687" s="343" t="str">
        <f t="shared" si="206"/>
        <v>no</v>
      </c>
      <c r="W687" s="378">
        <f t="shared" si="193"/>
        <v>13.095480180180164</v>
      </c>
      <c r="X687" s="391">
        <f t="shared" si="207"/>
        <v>9.5480180180164353E-2</v>
      </c>
      <c r="Y687" s="378">
        <f t="shared" si="194"/>
        <v>0.52272233670058699</v>
      </c>
      <c r="Z687" s="376">
        <f t="shared" si="195"/>
        <v>0.42650593358564098</v>
      </c>
    </row>
    <row r="688" spans="1:26">
      <c r="A688" s="11" t="s">
        <v>168</v>
      </c>
      <c r="B688" s="433">
        <f t="shared" si="196"/>
        <v>3.8389135181631708E-2</v>
      </c>
      <c r="C688" s="436">
        <v>3.8399999999999997E-2</v>
      </c>
      <c r="D688" s="376">
        <f t="shared" si="197"/>
        <v>0.97535999999999989</v>
      </c>
      <c r="E688" s="343">
        <f t="shared" si="198"/>
        <v>3.7899999999999996E-2</v>
      </c>
      <c r="F688" s="378">
        <f t="shared" si="199"/>
        <v>0.96265999999999985</v>
      </c>
      <c r="G688" s="324" t="s">
        <v>291</v>
      </c>
      <c r="H688" s="221">
        <f>13+F690</f>
        <v>14.12776</v>
      </c>
      <c r="I688" s="378">
        <f t="shared" si="188"/>
        <v>13.875691764705882</v>
      </c>
      <c r="J688" s="334">
        <f t="shared" si="200"/>
        <v>0.25206823529411793</v>
      </c>
      <c r="K688" s="343" t="str">
        <f t="shared" si="201"/>
        <v>no</v>
      </c>
      <c r="L688" s="378">
        <f t="shared" si="189"/>
        <v>12.913031764705881</v>
      </c>
      <c r="M688" s="391">
        <f t="shared" si="202"/>
        <v>-8.6968235294119012E-2</v>
      </c>
      <c r="N688" s="378">
        <f t="shared" si="190"/>
        <v>0.52184646663830803</v>
      </c>
      <c r="O688" s="376">
        <f t="shared" si="191"/>
        <v>0.42427062055049358</v>
      </c>
      <c r="P688" s="343">
        <f t="shared" si="203"/>
        <v>3.8899999999999997E-2</v>
      </c>
      <c r="Q688" s="378">
        <f t="shared" si="204"/>
        <v>0.98805999999999983</v>
      </c>
      <c r="R688" s="324" t="s">
        <v>291</v>
      </c>
      <c r="S688" s="221">
        <f>13+Q690</f>
        <v>14.15316</v>
      </c>
      <c r="T688" s="378">
        <f t="shared" si="192"/>
        <v>14.078891764705883</v>
      </c>
      <c r="U688" s="334">
        <f t="shared" si="205"/>
        <v>7.4268235294116636E-2</v>
      </c>
      <c r="V688" s="343" t="str">
        <f t="shared" si="206"/>
        <v>no</v>
      </c>
      <c r="W688" s="378">
        <f t="shared" si="193"/>
        <v>13.090831764705882</v>
      </c>
      <c r="X688" s="391">
        <f t="shared" si="207"/>
        <v>9.0831764705882279E-2</v>
      </c>
      <c r="Y688" s="378">
        <f t="shared" si="194"/>
        <v>0.5283407597252392</v>
      </c>
      <c r="Z688" s="376">
        <f t="shared" si="195"/>
        <v>0.43209019118634162</v>
      </c>
    </row>
    <row r="689" spans="1:26">
      <c r="A689" s="11" t="s">
        <v>21</v>
      </c>
      <c r="B689" s="433">
        <f t="shared" si="196"/>
        <v>4.4992125984251945E-2</v>
      </c>
      <c r="C689" s="436">
        <v>4.4999999999999998E-2</v>
      </c>
      <c r="D689" s="376">
        <f t="shared" si="197"/>
        <v>1.1429999999999998</v>
      </c>
      <c r="E689" s="343">
        <f t="shared" si="198"/>
        <v>4.4499999999999998E-2</v>
      </c>
      <c r="F689" s="378">
        <f t="shared" si="199"/>
        <v>1.1302999999999999</v>
      </c>
      <c r="G689" s="324" t="s">
        <v>293</v>
      </c>
      <c r="H689" s="221">
        <f>13+F691</f>
        <v>14.26746</v>
      </c>
      <c r="I689" s="378">
        <f t="shared" si="188"/>
        <v>14.055300000000003</v>
      </c>
      <c r="J689" s="334">
        <f t="shared" si="200"/>
        <v>0.21215999999999724</v>
      </c>
      <c r="K689" s="343" t="str">
        <f t="shared" si="201"/>
        <v>no</v>
      </c>
      <c r="L689" s="378">
        <f t="shared" si="189"/>
        <v>12.925000000000001</v>
      </c>
      <c r="M689" s="391">
        <f t="shared" si="202"/>
        <v>-7.4999999999999289E-2</v>
      </c>
      <c r="N689" s="378">
        <f t="shared" si="190"/>
        <v>0.52470406189555119</v>
      </c>
      <c r="O689" s="376">
        <f t="shared" si="191"/>
        <v>0.44114506769825912</v>
      </c>
      <c r="P689" s="343">
        <f t="shared" si="203"/>
        <v>4.5499999999999999E-2</v>
      </c>
      <c r="Q689" s="378">
        <f t="shared" si="204"/>
        <v>1.1556999999999999</v>
      </c>
      <c r="R689" s="324" t="s">
        <v>293</v>
      </c>
      <c r="S689" s="221">
        <f>13+Q691</f>
        <v>14.292859999999999</v>
      </c>
      <c r="T689" s="378">
        <f t="shared" si="192"/>
        <v>14.233100000000004</v>
      </c>
      <c r="U689" s="334">
        <f t="shared" si="205"/>
        <v>5.9759999999995372E-2</v>
      </c>
      <c r="V689" s="343" t="str">
        <f t="shared" si="206"/>
        <v>no</v>
      </c>
      <c r="W689" s="378">
        <f t="shared" si="193"/>
        <v>13.077400000000003</v>
      </c>
      <c r="X689" s="391">
        <f t="shared" si="207"/>
        <v>7.7400000000002578E-2</v>
      </c>
      <c r="Y689" s="378">
        <f t="shared" si="194"/>
        <v>0.53024301466652379</v>
      </c>
      <c r="Z689" s="376">
        <f t="shared" si="195"/>
        <v>0.44765779130408179</v>
      </c>
    </row>
    <row r="690" spans="1:26">
      <c r="A690" s="11" t="s">
        <v>243</v>
      </c>
      <c r="B690" s="433">
        <f t="shared" si="196"/>
        <v>4.4890523552976916E-2</v>
      </c>
      <c r="C690" s="436">
        <v>4.4900000000000002E-2</v>
      </c>
      <c r="D690" s="376">
        <f t="shared" si="197"/>
        <v>1.14046</v>
      </c>
      <c r="E690" s="343">
        <f t="shared" si="198"/>
        <v>4.4400000000000002E-2</v>
      </c>
      <c r="F690" s="378">
        <f t="shared" si="199"/>
        <v>1.1277600000000001</v>
      </c>
      <c r="G690" s="324" t="s">
        <v>294</v>
      </c>
      <c r="H690" s="221">
        <f>13+F692</f>
        <v>14.30556</v>
      </c>
      <c r="I690" s="378">
        <f t="shared" si="188"/>
        <v>14.053004210526318</v>
      </c>
      <c r="J690" s="334">
        <f t="shared" si="200"/>
        <v>0.25255578947368207</v>
      </c>
      <c r="K690" s="343" t="str">
        <f t="shared" si="201"/>
        <v>no</v>
      </c>
      <c r="L690" s="378">
        <f t="shared" si="189"/>
        <v>12.925244210526319</v>
      </c>
      <c r="M690" s="391">
        <f t="shared" si="202"/>
        <v>-7.4755789473680778E-2</v>
      </c>
      <c r="N690" s="378">
        <f t="shared" si="190"/>
        <v>0.52351506012469107</v>
      </c>
      <c r="O690" s="376">
        <f t="shared" si="191"/>
        <v>0.43995764469725579</v>
      </c>
      <c r="P690" s="343">
        <f t="shared" si="203"/>
        <v>4.5400000000000003E-2</v>
      </c>
      <c r="Q690" s="378">
        <f t="shared" si="204"/>
        <v>1.15316</v>
      </c>
      <c r="R690" s="324" t="s">
        <v>294</v>
      </c>
      <c r="S690" s="221">
        <f>13+Q692</f>
        <v>14.330959999999999</v>
      </c>
      <c r="T690" s="378">
        <f t="shared" si="192"/>
        <v>14.230804210526317</v>
      </c>
      <c r="U690" s="334">
        <f t="shared" si="205"/>
        <v>0.10015578947368198</v>
      </c>
      <c r="V690" s="343" t="str">
        <f t="shared" si="206"/>
        <v>no</v>
      </c>
      <c r="W690" s="378">
        <f t="shared" si="193"/>
        <v>13.077644210526316</v>
      </c>
      <c r="X690" s="391">
        <f t="shared" si="207"/>
        <v>7.764421052631576E-2</v>
      </c>
      <c r="Y690" s="378">
        <f t="shared" si="194"/>
        <v>0.52906776546427725</v>
      </c>
      <c r="Z690" s="376">
        <f t="shared" si="195"/>
        <v>0.44648408428944469</v>
      </c>
    </row>
    <row r="691" spans="1:26">
      <c r="A691" s="11" t="s">
        <v>22</v>
      </c>
      <c r="B691" s="433">
        <f t="shared" si="196"/>
        <v>5.0390576177977736E-2</v>
      </c>
      <c r="C691" s="436">
        <v>5.04E-2</v>
      </c>
      <c r="D691" s="376">
        <f t="shared" si="197"/>
        <v>1.28016</v>
      </c>
      <c r="E691" s="343">
        <f t="shared" si="198"/>
        <v>4.99E-2</v>
      </c>
      <c r="F691" s="378">
        <f t="shared" si="199"/>
        <v>1.26746</v>
      </c>
      <c r="G691" s="324" t="s">
        <v>295</v>
      </c>
      <c r="H691" s="221">
        <f>13+F693</f>
        <v>14.694179999999999</v>
      </c>
      <c r="I691" s="378">
        <f t="shared" si="188"/>
        <v>14.205156825396829</v>
      </c>
      <c r="J691" s="334">
        <f t="shared" si="200"/>
        <v>0.48902317460317057</v>
      </c>
      <c r="K691" s="343" t="str">
        <f t="shared" si="201"/>
        <v>no</v>
      </c>
      <c r="L691" s="378">
        <f t="shared" si="189"/>
        <v>12.937696825396827</v>
      </c>
      <c r="M691" s="391">
        <f t="shared" si="202"/>
        <v>-6.2303174603172806E-2</v>
      </c>
      <c r="N691" s="378">
        <f t="shared" si="190"/>
        <v>0.48983216143694275</v>
      </c>
      <c r="O691" s="376">
        <f t="shared" si="191"/>
        <v>0.42026800236395451</v>
      </c>
      <c r="P691" s="343">
        <f t="shared" si="203"/>
        <v>5.0900000000000001E-2</v>
      </c>
      <c r="Q691" s="378">
        <f t="shared" si="204"/>
        <v>1.2928599999999999</v>
      </c>
      <c r="R691" s="324" t="s">
        <v>295</v>
      </c>
      <c r="S691" s="221">
        <f>13+Q693</f>
        <v>14.719580000000001</v>
      </c>
      <c r="T691" s="378">
        <f t="shared" si="192"/>
        <v>14.357556825396827</v>
      </c>
      <c r="U691" s="334">
        <f t="shared" si="205"/>
        <v>0.36202317460317346</v>
      </c>
      <c r="V691" s="343" t="str">
        <f t="shared" si="206"/>
        <v>no</v>
      </c>
      <c r="W691" s="378">
        <f t="shared" si="193"/>
        <v>13.06469682539683</v>
      </c>
      <c r="X691" s="391">
        <f t="shared" si="207"/>
        <v>6.4696825396829638E-2</v>
      </c>
      <c r="Y691" s="378">
        <f t="shared" si="194"/>
        <v>0.49479142810523291</v>
      </c>
      <c r="Z691" s="376">
        <f t="shared" si="195"/>
        <v>0.42590349201088246</v>
      </c>
    </row>
    <row r="692" spans="1:26">
      <c r="A692" s="11" t="s">
        <v>244</v>
      </c>
      <c r="B692" s="433">
        <f t="shared" si="196"/>
        <v>5.1884139482564665E-2</v>
      </c>
      <c r="C692" s="436">
        <v>5.1900000000000002E-2</v>
      </c>
      <c r="D692" s="376">
        <f t="shared" si="197"/>
        <v>1.31826</v>
      </c>
      <c r="E692" s="343">
        <f t="shared" si="198"/>
        <v>5.1400000000000001E-2</v>
      </c>
      <c r="F692" s="378">
        <f t="shared" si="199"/>
        <v>1.3055600000000001</v>
      </c>
      <c r="G692" s="324" t="s">
        <v>295</v>
      </c>
      <c r="H692" s="221">
        <f>13+F693</f>
        <v>14.694179999999999</v>
      </c>
      <c r="I692" s="378">
        <f t="shared" si="188"/>
        <v>14.244074285714289</v>
      </c>
      <c r="J692" s="334">
        <f t="shared" si="200"/>
        <v>0.45010571428571033</v>
      </c>
      <c r="K692" s="343" t="str">
        <f t="shared" si="201"/>
        <v>no</v>
      </c>
      <c r="L692" s="378">
        <f t="shared" si="189"/>
        <v>12.938514285714289</v>
      </c>
      <c r="M692" s="391">
        <f t="shared" si="202"/>
        <v>-6.1485714285710813E-2</v>
      </c>
      <c r="N692" s="378">
        <f t="shared" si="190"/>
        <v>0.50452469702858349</v>
      </c>
      <c r="O692" s="376">
        <f t="shared" si="191"/>
        <v>0.43496493304596678</v>
      </c>
      <c r="P692" s="343">
        <f t="shared" si="203"/>
        <v>5.2400000000000002E-2</v>
      </c>
      <c r="Q692" s="378">
        <f t="shared" si="204"/>
        <v>1.3309599999999999</v>
      </c>
      <c r="R692" s="324" t="s">
        <v>295</v>
      </c>
      <c r="S692" s="221">
        <f>13+Q693</f>
        <v>14.719580000000001</v>
      </c>
      <c r="T692" s="378">
        <f t="shared" si="192"/>
        <v>14.396474285714287</v>
      </c>
      <c r="U692" s="334">
        <f t="shared" si="205"/>
        <v>0.32310571428571322</v>
      </c>
      <c r="V692" s="343" t="str">
        <f t="shared" si="206"/>
        <v>no</v>
      </c>
      <c r="W692" s="378">
        <f t="shared" si="193"/>
        <v>13.065514285714288</v>
      </c>
      <c r="X692" s="391">
        <f t="shared" si="207"/>
        <v>6.5514285714288079E-2</v>
      </c>
      <c r="Y692" s="378">
        <f t="shared" si="194"/>
        <v>0.50934083836839827</v>
      </c>
      <c r="Z692" s="376">
        <f t="shared" si="195"/>
        <v>0.44045721233432383</v>
      </c>
    </row>
    <row r="693" spans="1:26">
      <c r="A693" s="11" t="s">
        <v>24</v>
      </c>
      <c r="B693" s="433">
        <f t="shared" si="196"/>
        <v>6.7240813648293957E-2</v>
      </c>
      <c r="C693" s="436">
        <v>6.7199999999999996E-2</v>
      </c>
      <c r="D693" s="376">
        <f t="shared" si="197"/>
        <v>1.7068799999999997</v>
      </c>
      <c r="E693" s="343">
        <f t="shared" si="198"/>
        <v>6.6699999999999995E-2</v>
      </c>
      <c r="F693" s="378">
        <f t="shared" si="199"/>
        <v>1.6941799999999998</v>
      </c>
      <c r="G693" s="324" t="s">
        <v>296</v>
      </c>
      <c r="H693" s="221">
        <f>13+F694</f>
        <v>15.331720000000001</v>
      </c>
      <c r="I693" s="378">
        <f t="shared" si="188"/>
        <v>14.639233333333333</v>
      </c>
      <c r="J693" s="334">
        <f t="shared" si="200"/>
        <v>0.69248666666666736</v>
      </c>
      <c r="K693" s="343" t="str">
        <f t="shared" si="201"/>
        <v>no</v>
      </c>
      <c r="L693" s="378">
        <f t="shared" si="189"/>
        <v>12.945053333333334</v>
      </c>
      <c r="M693" s="391">
        <f t="shared" si="202"/>
        <v>-5.4946666666666033E-2</v>
      </c>
      <c r="N693" s="378">
        <f t="shared" si="190"/>
        <v>0.52349880881139654</v>
      </c>
      <c r="O693" s="376">
        <f t="shared" si="191"/>
        <v>0.4678791074891927</v>
      </c>
      <c r="P693" s="343">
        <f t="shared" si="203"/>
        <v>6.7699999999999996E-2</v>
      </c>
      <c r="Q693" s="378">
        <f t="shared" si="204"/>
        <v>1.7195799999999999</v>
      </c>
      <c r="R693" s="324" t="s">
        <v>296</v>
      </c>
      <c r="S693" s="221">
        <f>13+Q694</f>
        <v>15.35712</v>
      </c>
      <c r="T693" s="378">
        <f t="shared" si="192"/>
        <v>14.766233333333332</v>
      </c>
      <c r="U693" s="334">
        <f t="shared" si="205"/>
        <v>0.59088666666666789</v>
      </c>
      <c r="V693" s="343" t="str">
        <f t="shared" si="206"/>
        <v>no</v>
      </c>
      <c r="W693" s="378">
        <f t="shared" si="193"/>
        <v>13.046653333333333</v>
      </c>
      <c r="X693" s="391">
        <f t="shared" si="207"/>
        <v>4.6653333333333435E-2</v>
      </c>
      <c r="Y693" s="378">
        <f t="shared" si="194"/>
        <v>0.52720953215077371</v>
      </c>
      <c r="Z693" s="376">
        <f t="shared" si="195"/>
        <v>0.47202296578739478</v>
      </c>
    </row>
    <row r="694" spans="1:26">
      <c r="A694" s="11" t="s">
        <v>26</v>
      </c>
      <c r="B694" s="433">
        <f t="shared" si="196"/>
        <v>9.2331036745406853E-2</v>
      </c>
      <c r="C694" s="436">
        <v>9.2299999999999993E-2</v>
      </c>
      <c r="D694" s="376">
        <f t="shared" si="197"/>
        <v>2.3444199999999995</v>
      </c>
      <c r="E694" s="343">
        <f t="shared" si="198"/>
        <v>9.1799999999999993E-2</v>
      </c>
      <c r="F694" s="378">
        <f t="shared" si="199"/>
        <v>2.3317199999999998</v>
      </c>
      <c r="G694" s="324" t="s">
        <v>297</v>
      </c>
      <c r="H694" s="221">
        <f>13+F695</f>
        <v>16.06324</v>
      </c>
      <c r="I694" s="378">
        <f t="shared" si="188"/>
        <v>15.291254999999996</v>
      </c>
      <c r="J694" s="334">
        <f t="shared" si="200"/>
        <v>0.77198500000000436</v>
      </c>
      <c r="K694" s="343" t="str">
        <f t="shared" si="201"/>
        <v>no</v>
      </c>
      <c r="L694" s="378">
        <f t="shared" si="189"/>
        <v>12.959534999999997</v>
      </c>
      <c r="M694" s="391">
        <f t="shared" si="202"/>
        <v>-4.046500000000286E-2</v>
      </c>
      <c r="N694" s="378">
        <f t="shared" si="190"/>
        <v>0.53976936672496356</v>
      </c>
      <c r="O694" s="376">
        <f t="shared" si="191"/>
        <v>0.49810120502008753</v>
      </c>
      <c r="P694" s="343">
        <f t="shared" si="203"/>
        <v>9.2799999999999994E-2</v>
      </c>
      <c r="Q694" s="378">
        <f t="shared" si="204"/>
        <v>2.3571199999999997</v>
      </c>
      <c r="R694" s="324" t="s">
        <v>297</v>
      </c>
      <c r="S694" s="221">
        <f>13+Q695</f>
        <v>16.088639999999998</v>
      </c>
      <c r="T694" s="378">
        <f t="shared" si="192"/>
        <v>15.392854999999997</v>
      </c>
      <c r="U694" s="334">
        <f t="shared" si="205"/>
        <v>0.69578500000000076</v>
      </c>
      <c r="V694" s="343" t="str">
        <f t="shared" si="206"/>
        <v>no</v>
      </c>
      <c r="W694" s="378">
        <f t="shared" si="193"/>
        <v>13.035734999999995</v>
      </c>
      <c r="X694" s="391">
        <f t="shared" si="207"/>
        <v>3.5734999999995409E-2</v>
      </c>
      <c r="Y694" s="378">
        <f t="shared" si="194"/>
        <v>0.54245963116003826</v>
      </c>
      <c r="Z694" s="376">
        <f t="shared" si="195"/>
        <v>0.50103503945117023</v>
      </c>
    </row>
    <row r="695" spans="1:26">
      <c r="A695" s="11" t="s">
        <v>239</v>
      </c>
      <c r="B695" s="433">
        <f t="shared" si="196"/>
        <v>0.12110474827010266</v>
      </c>
      <c r="C695" s="436">
        <v>0.1211</v>
      </c>
      <c r="D695" s="376">
        <f t="shared" si="197"/>
        <v>3.0759399999999997</v>
      </c>
      <c r="E695" s="343">
        <f t="shared" si="198"/>
        <v>0.1206</v>
      </c>
      <c r="F695" s="378">
        <f t="shared" si="199"/>
        <v>3.06324</v>
      </c>
      <c r="G695" s="324" t="s">
        <v>298</v>
      </c>
      <c r="H695" s="221">
        <f>13+MIN(F696,F697)</f>
        <v>19.28396</v>
      </c>
      <c r="I695" s="378">
        <f t="shared" si="188"/>
        <v>16.037598787878785</v>
      </c>
      <c r="J695" s="334">
        <f t="shared" si="200"/>
        <v>3.2463612121212151</v>
      </c>
      <c r="K695" s="343" t="str">
        <f t="shared" si="201"/>
        <v>no</v>
      </c>
      <c r="L695" s="378">
        <f t="shared" si="189"/>
        <v>12.974358787878785</v>
      </c>
      <c r="M695" s="391">
        <f t="shared" si="202"/>
        <v>-2.5641212121215062E-2</v>
      </c>
      <c r="N695" s="378">
        <f t="shared" si="190"/>
        <v>0.47219905817030638</v>
      </c>
      <c r="O695" s="376">
        <f t="shared" si="191"/>
        <v>0.44445202219837626</v>
      </c>
      <c r="P695" s="343">
        <f t="shared" si="203"/>
        <v>0.1216</v>
      </c>
      <c r="Q695" s="378">
        <f t="shared" si="204"/>
        <v>3.0886399999999998</v>
      </c>
      <c r="R695" s="324" t="s">
        <v>298</v>
      </c>
      <c r="S695" s="221">
        <f>13+MIN(Q696,Q697)</f>
        <v>19.309359999999998</v>
      </c>
      <c r="T695" s="378">
        <f t="shared" si="192"/>
        <v>16.113798787878785</v>
      </c>
      <c r="U695" s="334">
        <f t="shared" si="205"/>
        <v>3.1955612121212127</v>
      </c>
      <c r="V695" s="343" t="str">
        <f t="shared" si="206"/>
        <v>no</v>
      </c>
      <c r="W695" s="378">
        <f t="shared" si="193"/>
        <v>13.025158787878784</v>
      </c>
      <c r="X695" s="391">
        <f t="shared" si="207"/>
        <v>2.5158787878783784E-2</v>
      </c>
      <c r="Y695" s="378">
        <f t="shared" si="194"/>
        <v>0.4742575580536168</v>
      </c>
      <c r="Z695" s="376">
        <f t="shared" si="195"/>
        <v>0.44661873952842412</v>
      </c>
    </row>
    <row r="696" spans="1:26">
      <c r="A696" s="11" t="s">
        <v>89</v>
      </c>
      <c r="B696" s="433">
        <f t="shared" si="196"/>
        <v>0.25018372703412078</v>
      </c>
      <c r="C696" s="436">
        <v>0.25019999999999998</v>
      </c>
      <c r="D696" s="376">
        <f t="shared" si="197"/>
        <v>6.3550799999999992</v>
      </c>
      <c r="E696" s="343">
        <f t="shared" si="198"/>
        <v>0.24969999999999998</v>
      </c>
      <c r="F696" s="378">
        <f t="shared" si="199"/>
        <v>6.3423799999999995</v>
      </c>
      <c r="G696" s="324" t="s">
        <v>299</v>
      </c>
      <c r="H696" s="221">
        <f>13+F678</f>
        <v>13.586740000000001</v>
      </c>
      <c r="I696" s="378">
        <f t="shared" si="188"/>
        <v>12.987713333333332</v>
      </c>
      <c r="J696" s="334">
        <f t="shared" si="200"/>
        <v>0.59902666666666882</v>
      </c>
      <c r="K696" s="343" t="str">
        <f t="shared" si="201"/>
        <v>no</v>
      </c>
      <c r="L696" s="378">
        <f t="shared" si="189"/>
        <v>12.987713333333332</v>
      </c>
      <c r="M696" s="391">
        <f t="shared" si="202"/>
        <v>-1.2286666666668111E-2</v>
      </c>
      <c r="N696" s="378">
        <f t="shared" si="190"/>
        <v>0.48833692561739123</v>
      </c>
      <c r="O696" s="376">
        <f t="shared" si="191"/>
        <v>0.47447767300068733</v>
      </c>
      <c r="P696" s="343">
        <f t="shared" si="203"/>
        <v>0.25069999999999998</v>
      </c>
      <c r="Q696" s="378">
        <f t="shared" si="204"/>
        <v>6.3677799999999989</v>
      </c>
      <c r="R696" s="324" t="s">
        <v>299</v>
      </c>
      <c r="S696" s="221">
        <f>13+Q678</f>
        <v>13.61214</v>
      </c>
      <c r="T696" s="378">
        <f t="shared" si="192"/>
        <v>13.013113333333331</v>
      </c>
      <c r="U696" s="334">
        <f t="shared" si="205"/>
        <v>0.59902666666666882</v>
      </c>
      <c r="V696" s="343" t="str">
        <f t="shared" si="206"/>
        <v>no</v>
      </c>
      <c r="W696" s="378">
        <f t="shared" si="193"/>
        <v>13.013113333333331</v>
      </c>
      <c r="X696" s="391">
        <f t="shared" si="207"/>
        <v>1.3113333333331312E-2</v>
      </c>
      <c r="Y696" s="378">
        <f t="shared" si="194"/>
        <v>0.48933562913717288</v>
      </c>
      <c r="Z696" s="376">
        <f t="shared" si="195"/>
        <v>0.47550342808049523</v>
      </c>
    </row>
    <row r="697" spans="1:26">
      <c r="A697" s="32" t="s">
        <v>245</v>
      </c>
      <c r="B697" s="434">
        <f t="shared" si="196"/>
        <v>0.24793307086614172</v>
      </c>
      <c r="C697" s="437">
        <v>0.24790000000000001</v>
      </c>
      <c r="D697" s="386">
        <f t="shared" si="197"/>
        <v>6.2966600000000001</v>
      </c>
      <c r="E697" s="342">
        <f t="shared" si="198"/>
        <v>0.24740000000000001</v>
      </c>
      <c r="F697" s="385">
        <f t="shared" si="199"/>
        <v>6.2839599999999995</v>
      </c>
      <c r="G697" s="368" t="s">
        <v>300</v>
      </c>
      <c r="H697" s="432">
        <f>13+F679</f>
        <v>13.586740000000001</v>
      </c>
      <c r="I697" s="385">
        <f t="shared" si="188"/>
        <v>12.986460000000001</v>
      </c>
      <c r="J697" s="368">
        <f t="shared" si="200"/>
        <v>0.6002799999999997</v>
      </c>
      <c r="K697" s="342" t="str">
        <f t="shared" si="201"/>
        <v>no</v>
      </c>
      <c r="L697" s="385">
        <f t="shared" si="189"/>
        <v>12.986460000000001</v>
      </c>
      <c r="M697" s="444">
        <f t="shared" si="202"/>
        <v>-1.3539999999998997E-2</v>
      </c>
      <c r="N697" s="385">
        <f t="shared" si="190"/>
        <v>0.48388552384560529</v>
      </c>
      <c r="O697" s="386">
        <f t="shared" si="191"/>
        <v>0.47002493366167525</v>
      </c>
      <c r="P697" s="342">
        <f t="shared" si="203"/>
        <v>0.24840000000000001</v>
      </c>
      <c r="Q697" s="385">
        <f t="shared" si="204"/>
        <v>6.3093599999999999</v>
      </c>
      <c r="R697" s="368" t="s">
        <v>300</v>
      </c>
      <c r="S697" s="432">
        <f>13+Q679</f>
        <v>13.61214</v>
      </c>
      <c r="T697" s="385">
        <f t="shared" si="192"/>
        <v>13.01186</v>
      </c>
      <c r="U697" s="368">
        <f t="shared" si="205"/>
        <v>0.6002799999999997</v>
      </c>
      <c r="V697" s="342" t="str">
        <f t="shared" si="206"/>
        <v>no</v>
      </c>
      <c r="W697" s="385">
        <f t="shared" si="193"/>
        <v>13.01186</v>
      </c>
      <c r="X697" s="444">
        <f t="shared" si="207"/>
        <v>1.1860000000000426E-2</v>
      </c>
      <c r="Y697" s="385">
        <f t="shared" si="194"/>
        <v>0.48489301298968784</v>
      </c>
      <c r="Z697" s="386">
        <f t="shared" si="195"/>
        <v>0.47105947958247324</v>
      </c>
    </row>
    <row r="698" spans="1:26">
      <c r="A698" s="343"/>
      <c r="F698" s="441"/>
    </row>
    <row r="699" spans="1:26">
      <c r="A699" s="399"/>
      <c r="F699" s="441"/>
    </row>
    <row r="700" spans="1:26" s="447" customFormat="1" ht="15.75" thickBot="1">
      <c r="A700" s="446"/>
      <c r="F700" s="448"/>
    </row>
    <row r="701" spans="1:26" ht="15.75" thickTop="1">
      <c r="A701" s="399"/>
      <c r="F701" s="441"/>
    </row>
    <row r="702" spans="1:26">
      <c r="A702" s="399"/>
      <c r="F702" s="441"/>
    </row>
    <row r="703" spans="1:26">
      <c r="A703" s="399"/>
      <c r="F703" s="441"/>
    </row>
    <row r="704" spans="1:26">
      <c r="A704" s="399"/>
      <c r="F704" s="441"/>
    </row>
    <row r="705" spans="1:26" ht="26.25">
      <c r="A705" s="427" t="s">
        <v>361</v>
      </c>
      <c r="B705" s="126"/>
      <c r="F705" s="441"/>
    </row>
    <row r="706" spans="1:26">
      <c r="A706" s="428" t="s">
        <v>336</v>
      </c>
      <c r="B706" s="126">
        <f>0.001</f>
        <v>1E-3</v>
      </c>
      <c r="C706" s="126"/>
      <c r="D706" s="126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 spans="1:26">
      <c r="A707" s="428"/>
      <c r="B707" s="126"/>
      <c r="C707" s="126"/>
      <c r="D707" s="126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 spans="1:26" ht="19.5">
      <c r="A708" s="778" t="s">
        <v>340</v>
      </c>
      <c r="B708" s="778"/>
      <c r="E708" s="392" t="s">
        <v>341</v>
      </c>
      <c r="K708" s="779" t="s">
        <v>339</v>
      </c>
      <c r="L708" s="780"/>
    </row>
    <row r="709" spans="1:26">
      <c r="A709" s="11" t="s">
        <v>246</v>
      </c>
      <c r="B709" s="399" t="s">
        <v>256</v>
      </c>
      <c r="C709" s="436" t="s">
        <v>337</v>
      </c>
      <c r="D709" s="379"/>
      <c r="E709" s="335" t="s">
        <v>342</v>
      </c>
      <c r="F709" s="335"/>
      <c r="G709" s="335" t="s">
        <v>320</v>
      </c>
      <c r="H709" s="443" t="s">
        <v>348</v>
      </c>
      <c r="I709" s="402" t="s">
        <v>271</v>
      </c>
      <c r="J709" s="429" t="s">
        <v>271</v>
      </c>
      <c r="K709" s="335" t="s">
        <v>342</v>
      </c>
      <c r="L709" s="335"/>
      <c r="M709" s="335" t="s">
        <v>320</v>
      </c>
      <c r="N709" s="443" t="s">
        <v>348</v>
      </c>
      <c r="O709" s="402" t="s">
        <v>271</v>
      </c>
      <c r="P709" s="429" t="s">
        <v>271</v>
      </c>
    </row>
    <row r="710" spans="1:26">
      <c r="A710" s="32"/>
      <c r="B710" s="342" t="s">
        <v>112</v>
      </c>
      <c r="C710" s="437" t="s">
        <v>112</v>
      </c>
      <c r="D710" s="393" t="s">
        <v>113</v>
      </c>
      <c r="E710" s="342" t="s">
        <v>112</v>
      </c>
      <c r="F710" s="342" t="s">
        <v>113</v>
      </c>
      <c r="G710" s="342" t="s">
        <v>113</v>
      </c>
      <c r="H710" s="437" t="s">
        <v>113</v>
      </c>
      <c r="I710" s="342" t="s">
        <v>307</v>
      </c>
      <c r="J710" s="393" t="s">
        <v>309</v>
      </c>
      <c r="K710" s="342" t="s">
        <v>112</v>
      </c>
      <c r="L710" s="342" t="s">
        <v>113</v>
      </c>
      <c r="M710" s="342" t="s">
        <v>113</v>
      </c>
      <c r="N710" s="437" t="s">
        <v>113</v>
      </c>
      <c r="O710" s="342" t="s">
        <v>307</v>
      </c>
      <c r="P710" s="393" t="s">
        <v>309</v>
      </c>
    </row>
    <row r="711" spans="1:26">
      <c r="B711" s="399"/>
      <c r="C711" s="436"/>
      <c r="D711" s="379"/>
      <c r="E711" s="399"/>
      <c r="F711" s="399"/>
      <c r="H711" s="401"/>
      <c r="I711" s="399"/>
      <c r="J711" s="379"/>
      <c r="K711" s="399"/>
      <c r="L711" s="399"/>
      <c r="M711" s="399"/>
      <c r="N711" s="401"/>
      <c r="O711" s="399"/>
      <c r="P711" s="400"/>
    </row>
    <row r="712" spans="1:26" s="399" customFormat="1">
      <c r="A712" s="222" t="s">
        <v>6</v>
      </c>
      <c r="B712" s="449">
        <f>N43</f>
        <v>2.4251968503937012E-2</v>
      </c>
      <c r="C712" s="399">
        <f>0.017</f>
        <v>1.7000000000000001E-2</v>
      </c>
      <c r="D712" s="399">
        <f>C712*25.4</f>
        <v>0.43180000000000002</v>
      </c>
      <c r="E712" s="399">
        <f>C712-$B$706</f>
        <v>1.6E-2</v>
      </c>
      <c r="F712" s="441">
        <f>E712*25.4</f>
        <v>0.40639999999999998</v>
      </c>
      <c r="G712" s="378">
        <f t="shared" ref="G712:G731" si="208">F712*L43+J43*B43</f>
        <v>10.681599999999998</v>
      </c>
      <c r="H712" s="378">
        <f>13-G712</f>
        <v>2.3184000000000022</v>
      </c>
      <c r="K712" s="449">
        <f>C712+$B$706</f>
        <v>1.8000000000000002E-2</v>
      </c>
      <c r="L712" s="378">
        <f>K712*25.4</f>
        <v>0.45720000000000005</v>
      </c>
      <c r="M712" s="378">
        <f t="shared" ref="M712:M731" si="209">L712*L43+J43*B43</f>
        <v>11.392799999999998</v>
      </c>
      <c r="N712" s="378">
        <f>13-M712</f>
        <v>1.6072000000000024</v>
      </c>
    </row>
    <row r="713" spans="1:26" s="399" customFormat="1">
      <c r="A713" s="222" t="s">
        <v>164</v>
      </c>
      <c r="B713" s="449">
        <f t="shared" ref="B713:B731" si="210">N44</f>
        <v>2.4219386369807222E-2</v>
      </c>
      <c r="C713" s="399">
        <v>2.4E-2</v>
      </c>
      <c r="D713" s="399">
        <f t="shared" ref="D713:D731" si="211">C713*25.4</f>
        <v>0.60960000000000003</v>
      </c>
      <c r="E713" s="399">
        <f t="shared" ref="E713:E731" si="212">C713-$B$706</f>
        <v>2.3E-2</v>
      </c>
      <c r="F713" s="441">
        <f t="shared" ref="F713:F731" si="213">E713*25.4</f>
        <v>0.58419999999999994</v>
      </c>
      <c r="G713" s="378">
        <f t="shared" si="208"/>
        <v>13.181558620689655</v>
      </c>
      <c r="H713" s="378">
        <f t="shared" ref="H713:H731" si="214">13-G713</f>
        <v>-0.18155862068965511</v>
      </c>
      <c r="K713" s="449">
        <f t="shared" ref="K713:K731" si="215">C713+$B$706</f>
        <v>2.5000000000000001E-2</v>
      </c>
      <c r="L713" s="378">
        <f t="shared" ref="L713:L731" si="216">K713*25.4</f>
        <v>0.63500000000000001</v>
      </c>
      <c r="M713" s="378">
        <f t="shared" si="209"/>
        <v>13.892758620689657</v>
      </c>
      <c r="N713" s="378">
        <f t="shared" ref="N713:N731" si="217">13-M713</f>
        <v>-0.89275862068965672</v>
      </c>
    </row>
    <row r="714" spans="1:26" s="399" customFormat="1">
      <c r="A714" s="222" t="s">
        <v>9</v>
      </c>
      <c r="B714" s="449">
        <f t="shared" si="210"/>
        <v>2.2947983774755456E-2</v>
      </c>
      <c r="C714" s="399">
        <v>2.3E-2</v>
      </c>
      <c r="D714" s="399">
        <f t="shared" si="211"/>
        <v>0.58419999999999994</v>
      </c>
      <c r="E714" s="399">
        <f t="shared" si="212"/>
        <v>2.1999999999999999E-2</v>
      </c>
      <c r="F714" s="441">
        <f t="shared" si="213"/>
        <v>0.55879999999999996</v>
      </c>
      <c r="G714" s="378">
        <f t="shared" si="208"/>
        <v>13.269854545454535</v>
      </c>
      <c r="H714" s="378">
        <f t="shared" si="214"/>
        <v>-0.26985454545453536</v>
      </c>
      <c r="K714" s="449">
        <f t="shared" si="215"/>
        <v>2.4E-2</v>
      </c>
      <c r="L714" s="378">
        <f t="shared" si="216"/>
        <v>0.60960000000000003</v>
      </c>
      <c r="M714" s="378">
        <f t="shared" si="209"/>
        <v>13.930254545454538</v>
      </c>
      <c r="N714" s="378">
        <f t="shared" si="217"/>
        <v>-0.93025454545453812</v>
      </c>
    </row>
    <row r="715" spans="1:26" s="399" customFormat="1">
      <c r="A715" s="222" t="s">
        <v>165</v>
      </c>
      <c r="B715" s="449">
        <f t="shared" si="210"/>
        <v>2.2399801376179307E-2</v>
      </c>
      <c r="C715" s="399">
        <v>2.3E-2</v>
      </c>
      <c r="D715" s="399">
        <f t="shared" si="211"/>
        <v>0.58419999999999994</v>
      </c>
      <c r="E715" s="399">
        <f t="shared" si="212"/>
        <v>2.1999999999999999E-2</v>
      </c>
      <c r="F715" s="441">
        <f t="shared" si="213"/>
        <v>0.55879999999999996</v>
      </c>
      <c r="G715" s="378">
        <f t="shared" si="208"/>
        <v>13.436940540540546</v>
      </c>
      <c r="H715" s="378">
        <f t="shared" si="214"/>
        <v>-0.43694054054054554</v>
      </c>
      <c r="K715" s="449">
        <f t="shared" si="215"/>
        <v>2.4E-2</v>
      </c>
      <c r="L715" s="378">
        <f t="shared" si="216"/>
        <v>0.60960000000000003</v>
      </c>
      <c r="M715" s="378">
        <f t="shared" si="209"/>
        <v>14.097340540540547</v>
      </c>
      <c r="N715" s="378">
        <f t="shared" si="217"/>
        <v>-1.0973405405405465</v>
      </c>
    </row>
    <row r="716" spans="1:26" s="399" customFormat="1">
      <c r="A716" s="222" t="s">
        <v>11</v>
      </c>
      <c r="B716" s="449">
        <f t="shared" si="210"/>
        <v>2.6825340014316426E-2</v>
      </c>
      <c r="C716" s="399">
        <v>2.7E-2</v>
      </c>
      <c r="D716" s="399">
        <f t="shared" si="211"/>
        <v>0.68579999999999997</v>
      </c>
      <c r="E716" s="399">
        <f t="shared" si="212"/>
        <v>2.5999999999999999E-2</v>
      </c>
      <c r="F716" s="441">
        <f t="shared" si="213"/>
        <v>0.66039999999999999</v>
      </c>
      <c r="G716" s="378">
        <f t="shared" si="208"/>
        <v>13.429799999999991</v>
      </c>
      <c r="H716" s="378">
        <f t="shared" si="214"/>
        <v>-0.4297999999999913</v>
      </c>
      <c r="K716" s="449">
        <f t="shared" si="215"/>
        <v>2.8000000000000001E-2</v>
      </c>
      <c r="L716" s="378">
        <f t="shared" si="216"/>
        <v>0.71119999999999994</v>
      </c>
      <c r="M716" s="378">
        <f t="shared" si="209"/>
        <v>14.039399999999992</v>
      </c>
      <c r="N716" s="378">
        <f t="shared" si="217"/>
        <v>-1.0393999999999917</v>
      </c>
    </row>
    <row r="717" spans="1:26" s="399" customFormat="1">
      <c r="A717" s="222" t="s">
        <v>226</v>
      </c>
      <c r="B717" s="449">
        <f t="shared" si="210"/>
        <v>2.6277157615740277E-2</v>
      </c>
      <c r="C717" s="399">
        <v>2.5999999999999999E-2</v>
      </c>
      <c r="D717" s="399">
        <f t="shared" si="211"/>
        <v>0.66039999999999999</v>
      </c>
      <c r="E717" s="399">
        <f t="shared" si="212"/>
        <v>2.4999999999999998E-2</v>
      </c>
      <c r="F717" s="441">
        <f t="shared" si="213"/>
        <v>0.6349999999999999</v>
      </c>
      <c r="G717" s="378">
        <f t="shared" si="208"/>
        <v>13.278162162162166</v>
      </c>
      <c r="H717" s="378">
        <f t="shared" si="214"/>
        <v>-0.27816216216216638</v>
      </c>
      <c r="K717" s="449">
        <f t="shared" si="215"/>
        <v>2.7E-2</v>
      </c>
      <c r="L717" s="378">
        <f t="shared" si="216"/>
        <v>0.68579999999999997</v>
      </c>
      <c r="M717" s="378">
        <f t="shared" si="209"/>
        <v>13.887762162162167</v>
      </c>
      <c r="N717" s="378">
        <f t="shared" si="217"/>
        <v>-0.88776216216216675</v>
      </c>
    </row>
    <row r="718" spans="1:26" s="399" customFormat="1">
      <c r="A718" s="402" t="s">
        <v>13</v>
      </c>
      <c r="B718" s="449">
        <f t="shared" si="210"/>
        <v>3.1478167501789583E-2</v>
      </c>
      <c r="C718" s="399">
        <v>3.2000000000000001E-2</v>
      </c>
      <c r="D718" s="399">
        <f t="shared" si="211"/>
        <v>0.81279999999999997</v>
      </c>
      <c r="E718" s="399">
        <f t="shared" si="212"/>
        <v>3.1E-2</v>
      </c>
      <c r="F718" s="441">
        <f t="shared" si="213"/>
        <v>0.78739999999999999</v>
      </c>
      <c r="G718" s="378">
        <f t="shared" si="208"/>
        <v>13.665945454545447</v>
      </c>
      <c r="H718" s="378">
        <f t="shared" si="214"/>
        <v>-0.66594545454544729</v>
      </c>
      <c r="K718" s="449">
        <f t="shared" si="215"/>
        <v>3.3000000000000002E-2</v>
      </c>
      <c r="L718" s="378">
        <f t="shared" si="216"/>
        <v>0.83819999999999995</v>
      </c>
      <c r="M718" s="378">
        <f t="shared" si="209"/>
        <v>14.224745454545447</v>
      </c>
      <c r="N718" s="378">
        <f t="shared" si="217"/>
        <v>-1.224745454545447</v>
      </c>
    </row>
    <row r="719" spans="1:26" s="399" customFormat="1">
      <c r="A719" s="402" t="s">
        <v>15</v>
      </c>
      <c r="B719" s="449">
        <f t="shared" si="210"/>
        <v>3.2027559055118122E-2</v>
      </c>
      <c r="C719" s="399">
        <v>3.2000000000000001E-2</v>
      </c>
      <c r="D719" s="399">
        <f t="shared" si="211"/>
        <v>0.81279999999999997</v>
      </c>
      <c r="E719" s="399">
        <f t="shared" si="212"/>
        <v>3.1E-2</v>
      </c>
      <c r="F719" s="441">
        <f t="shared" si="213"/>
        <v>0.78739999999999999</v>
      </c>
      <c r="G719" s="378">
        <f t="shared" si="208"/>
        <v>13.552499999999998</v>
      </c>
      <c r="H719" s="378">
        <f t="shared" si="214"/>
        <v>-0.55249999999999844</v>
      </c>
      <c r="K719" s="449">
        <f t="shared" si="215"/>
        <v>3.3000000000000002E-2</v>
      </c>
      <c r="L719" s="378">
        <f t="shared" si="216"/>
        <v>0.83819999999999995</v>
      </c>
      <c r="M719" s="378">
        <f t="shared" si="209"/>
        <v>14.060499999999998</v>
      </c>
      <c r="N719" s="378">
        <f t="shared" si="217"/>
        <v>-1.0604999999999976</v>
      </c>
    </row>
    <row r="720" spans="1:26" s="399" customFormat="1">
      <c r="A720" s="402" t="s">
        <v>17</v>
      </c>
      <c r="B720" s="449">
        <f t="shared" si="210"/>
        <v>3.3750468691413571E-2</v>
      </c>
      <c r="C720" s="399">
        <v>3.4000000000000002E-2</v>
      </c>
      <c r="D720" s="399">
        <f t="shared" si="211"/>
        <v>0.86360000000000003</v>
      </c>
      <c r="E720" s="399">
        <f t="shared" si="212"/>
        <v>3.3000000000000002E-2</v>
      </c>
      <c r="F720" s="441">
        <f t="shared" si="213"/>
        <v>0.83819999999999995</v>
      </c>
      <c r="G720" s="378">
        <f t="shared" si="208"/>
        <v>13.685704761904763</v>
      </c>
      <c r="H720" s="378">
        <f t="shared" si="214"/>
        <v>-0.68570476190476271</v>
      </c>
      <c r="K720" s="449">
        <f t="shared" si="215"/>
        <v>3.5000000000000003E-2</v>
      </c>
      <c r="L720" s="378">
        <f t="shared" si="216"/>
        <v>0.88900000000000001</v>
      </c>
      <c r="M720" s="378">
        <f t="shared" si="209"/>
        <v>14.142904761904763</v>
      </c>
      <c r="N720" s="378">
        <f t="shared" si="217"/>
        <v>-1.142904761904763</v>
      </c>
    </row>
    <row r="721" spans="1:26" s="399" customFormat="1">
      <c r="A721" s="402" t="s">
        <v>19</v>
      </c>
      <c r="B721" s="449">
        <f t="shared" si="210"/>
        <v>3.7962991112597495E-2</v>
      </c>
      <c r="C721" s="399">
        <v>3.7999999999999999E-2</v>
      </c>
      <c r="D721" s="399">
        <f t="shared" si="211"/>
        <v>0.96519999999999995</v>
      </c>
      <c r="E721" s="399">
        <f t="shared" si="212"/>
        <v>3.6999999999999998E-2</v>
      </c>
      <c r="F721" s="441">
        <f t="shared" si="213"/>
        <v>0.93979999999999986</v>
      </c>
      <c r="G721" s="378">
        <f t="shared" si="208"/>
        <v>13.768580180180166</v>
      </c>
      <c r="H721" s="378">
        <f t="shared" si="214"/>
        <v>-0.76858018018016594</v>
      </c>
      <c r="K721" s="449">
        <f t="shared" si="215"/>
        <v>3.9E-2</v>
      </c>
      <c r="L721" s="378">
        <f t="shared" si="216"/>
        <v>0.99059999999999993</v>
      </c>
      <c r="M721" s="378">
        <f t="shared" si="209"/>
        <v>14.174980180180166</v>
      </c>
      <c r="N721" s="378">
        <f t="shared" si="217"/>
        <v>-1.1749801801801656</v>
      </c>
    </row>
    <row r="722" spans="1:26" s="399" customFormat="1">
      <c r="A722" s="402" t="s">
        <v>168</v>
      </c>
      <c r="B722" s="449">
        <f t="shared" si="210"/>
        <v>3.8389135181631708E-2</v>
      </c>
      <c r="C722" s="399">
        <v>3.7999999999999999E-2</v>
      </c>
      <c r="D722" s="399">
        <f t="shared" si="211"/>
        <v>0.96519999999999995</v>
      </c>
      <c r="E722" s="399">
        <f t="shared" si="212"/>
        <v>3.6999999999999998E-2</v>
      </c>
      <c r="F722" s="441">
        <f t="shared" si="213"/>
        <v>0.93979999999999986</v>
      </c>
      <c r="G722" s="378">
        <f t="shared" si="208"/>
        <v>13.692811764705883</v>
      </c>
      <c r="H722" s="378">
        <f t="shared" si="214"/>
        <v>-0.69281176470588335</v>
      </c>
      <c r="K722" s="449">
        <f t="shared" si="215"/>
        <v>3.9E-2</v>
      </c>
      <c r="L722" s="378">
        <f t="shared" si="216"/>
        <v>0.99059999999999993</v>
      </c>
      <c r="M722" s="378">
        <f t="shared" si="209"/>
        <v>14.099211764705883</v>
      </c>
      <c r="N722" s="378">
        <f t="shared" si="217"/>
        <v>-1.099211764705883</v>
      </c>
    </row>
    <row r="723" spans="1:26" s="399" customFormat="1">
      <c r="A723" s="402" t="s">
        <v>21</v>
      </c>
      <c r="B723" s="449">
        <f t="shared" si="210"/>
        <v>4.4992125984251945E-2</v>
      </c>
      <c r="C723" s="399">
        <v>4.4999999999999998E-2</v>
      </c>
      <c r="D723" s="399">
        <f t="shared" si="211"/>
        <v>1.1429999999999998</v>
      </c>
      <c r="E723" s="399">
        <f t="shared" si="212"/>
        <v>4.3999999999999997E-2</v>
      </c>
      <c r="F723" s="441">
        <f t="shared" si="213"/>
        <v>1.1175999999999999</v>
      </c>
      <c r="G723" s="378">
        <f t="shared" si="208"/>
        <v>13.966400000000004</v>
      </c>
      <c r="H723" s="378">
        <f t="shared" si="214"/>
        <v>-0.9664000000000037</v>
      </c>
      <c r="K723" s="449">
        <f t="shared" si="215"/>
        <v>4.5999999999999999E-2</v>
      </c>
      <c r="L723" s="378">
        <f t="shared" si="216"/>
        <v>1.1683999999999999</v>
      </c>
      <c r="M723" s="378">
        <f t="shared" si="209"/>
        <v>14.322000000000003</v>
      </c>
      <c r="N723" s="378">
        <f t="shared" si="217"/>
        <v>-1.3220000000000027</v>
      </c>
    </row>
    <row r="724" spans="1:26" s="399" customFormat="1">
      <c r="A724" s="402" t="s">
        <v>243</v>
      </c>
      <c r="B724" s="449">
        <f t="shared" si="210"/>
        <v>4.4890523552976916E-2</v>
      </c>
      <c r="C724" s="399">
        <v>4.4999999999999998E-2</v>
      </c>
      <c r="D724" s="399">
        <f t="shared" si="211"/>
        <v>1.1429999999999998</v>
      </c>
      <c r="E724" s="399">
        <f t="shared" si="212"/>
        <v>4.3999999999999997E-2</v>
      </c>
      <c r="F724" s="441">
        <f t="shared" si="213"/>
        <v>1.1175999999999999</v>
      </c>
      <c r="G724" s="378">
        <f t="shared" si="208"/>
        <v>13.981884210526317</v>
      </c>
      <c r="H724" s="378">
        <f t="shared" si="214"/>
        <v>-0.98188421052631725</v>
      </c>
      <c r="K724" s="449">
        <f t="shared" si="215"/>
        <v>4.5999999999999999E-2</v>
      </c>
      <c r="L724" s="378">
        <f t="shared" si="216"/>
        <v>1.1683999999999999</v>
      </c>
      <c r="M724" s="378">
        <f t="shared" si="209"/>
        <v>14.337484210526316</v>
      </c>
      <c r="N724" s="378">
        <f t="shared" si="217"/>
        <v>-1.3374842105263163</v>
      </c>
    </row>
    <row r="725" spans="1:26" s="399" customFormat="1">
      <c r="A725" s="402" t="s">
        <v>22</v>
      </c>
      <c r="B725" s="449">
        <f t="shared" si="210"/>
        <v>5.0390576177977736E-2</v>
      </c>
      <c r="C725" s="399">
        <v>0.05</v>
      </c>
      <c r="D725" s="399">
        <f t="shared" si="211"/>
        <v>1.27</v>
      </c>
      <c r="E725" s="399">
        <f t="shared" si="212"/>
        <v>4.9000000000000002E-2</v>
      </c>
      <c r="F725" s="441">
        <f t="shared" si="213"/>
        <v>1.2445999999999999</v>
      </c>
      <c r="G725" s="378">
        <f t="shared" si="208"/>
        <v>14.067996825396827</v>
      </c>
      <c r="H725" s="378">
        <f t="shared" si="214"/>
        <v>-1.0679968253968273</v>
      </c>
      <c r="K725" s="449">
        <f t="shared" si="215"/>
        <v>5.1000000000000004E-2</v>
      </c>
      <c r="L725" s="378">
        <f t="shared" si="216"/>
        <v>1.2954000000000001</v>
      </c>
      <c r="M725" s="378">
        <f t="shared" si="209"/>
        <v>14.372796825396829</v>
      </c>
      <c r="N725" s="378">
        <f t="shared" si="217"/>
        <v>-1.3727968253968292</v>
      </c>
    </row>
    <row r="726" spans="1:26" s="399" customFormat="1">
      <c r="A726" s="402" t="s">
        <v>244</v>
      </c>
      <c r="B726" s="449">
        <f t="shared" si="210"/>
        <v>5.1884139482564665E-2</v>
      </c>
      <c r="C726" s="399">
        <v>5.1999999999999998E-2</v>
      </c>
      <c r="D726" s="399">
        <f t="shared" si="211"/>
        <v>1.3208</v>
      </c>
      <c r="E726" s="399">
        <f t="shared" si="212"/>
        <v>5.0999999999999997E-2</v>
      </c>
      <c r="F726" s="441">
        <f t="shared" si="213"/>
        <v>1.2953999999999999</v>
      </c>
      <c r="G726" s="378">
        <f t="shared" si="208"/>
        <v>14.183114285714288</v>
      </c>
      <c r="H726" s="378">
        <f t="shared" si="214"/>
        <v>-1.1831142857142876</v>
      </c>
      <c r="K726" s="449">
        <f t="shared" si="215"/>
        <v>5.2999999999999999E-2</v>
      </c>
      <c r="L726" s="378">
        <f t="shared" si="216"/>
        <v>1.3461999999999998</v>
      </c>
      <c r="M726" s="378">
        <f t="shared" si="209"/>
        <v>14.487914285714288</v>
      </c>
      <c r="N726" s="378">
        <f t="shared" si="217"/>
        <v>-1.4879142857142877</v>
      </c>
    </row>
    <row r="727" spans="1:26" s="399" customFormat="1">
      <c r="A727" s="402" t="s">
        <v>24</v>
      </c>
      <c r="B727" s="449">
        <f t="shared" si="210"/>
        <v>6.7240813648293957E-2</v>
      </c>
      <c r="C727" s="399">
        <v>6.7000000000000004E-2</v>
      </c>
      <c r="D727" s="399">
        <f t="shared" si="211"/>
        <v>1.7018</v>
      </c>
      <c r="E727" s="399">
        <f t="shared" si="212"/>
        <v>6.6000000000000003E-2</v>
      </c>
      <c r="F727" s="441">
        <f t="shared" si="213"/>
        <v>1.6763999999999999</v>
      </c>
      <c r="G727" s="378">
        <f t="shared" si="208"/>
        <v>14.550333333333334</v>
      </c>
      <c r="H727" s="378">
        <f t="shared" si="214"/>
        <v>-1.5503333333333345</v>
      </c>
      <c r="K727" s="449">
        <f t="shared" si="215"/>
        <v>6.8000000000000005E-2</v>
      </c>
      <c r="L727" s="378">
        <f t="shared" si="216"/>
        <v>1.7272000000000001</v>
      </c>
      <c r="M727" s="378">
        <f t="shared" si="209"/>
        <v>14.804333333333336</v>
      </c>
      <c r="N727" s="378">
        <f t="shared" si="217"/>
        <v>-1.8043333333333358</v>
      </c>
    </row>
    <row r="728" spans="1:26" s="399" customFormat="1">
      <c r="A728" s="402" t="s">
        <v>26</v>
      </c>
      <c r="B728" s="449">
        <f t="shared" si="210"/>
        <v>9.2331036745406853E-2</v>
      </c>
      <c r="C728" s="399">
        <v>9.1999999999999998E-2</v>
      </c>
      <c r="D728" s="399">
        <f t="shared" si="211"/>
        <v>2.3367999999999998</v>
      </c>
      <c r="E728" s="399">
        <f t="shared" si="212"/>
        <v>9.0999999999999998E-2</v>
      </c>
      <c r="F728" s="441">
        <f t="shared" si="213"/>
        <v>2.3113999999999999</v>
      </c>
      <c r="G728" s="378">
        <f t="shared" si="208"/>
        <v>15.209974999999996</v>
      </c>
      <c r="H728" s="378">
        <f t="shared" si="214"/>
        <v>-2.2099749999999965</v>
      </c>
      <c r="K728" s="449">
        <f t="shared" si="215"/>
        <v>9.2999999999999999E-2</v>
      </c>
      <c r="L728" s="378">
        <f t="shared" si="216"/>
        <v>2.3621999999999996</v>
      </c>
      <c r="M728" s="378">
        <f t="shared" si="209"/>
        <v>15.413174999999995</v>
      </c>
      <c r="N728" s="378">
        <f t="shared" si="217"/>
        <v>-2.4131749999999954</v>
      </c>
    </row>
    <row r="729" spans="1:26" s="399" customFormat="1">
      <c r="A729" s="402" t="s">
        <v>239</v>
      </c>
      <c r="B729" s="449">
        <f t="shared" si="210"/>
        <v>0.12110474827010266</v>
      </c>
      <c r="C729" s="399">
        <v>0.121</v>
      </c>
      <c r="D729" s="399">
        <f t="shared" si="211"/>
        <v>3.0733999999999999</v>
      </c>
      <c r="E729" s="399">
        <f t="shared" si="212"/>
        <v>0.12</v>
      </c>
      <c r="F729" s="441">
        <f t="shared" si="213"/>
        <v>3.0479999999999996</v>
      </c>
      <c r="G729" s="378">
        <f t="shared" si="208"/>
        <v>15.991878787878782</v>
      </c>
      <c r="H729" s="378">
        <f t="shared" si="214"/>
        <v>-2.9918787878787825</v>
      </c>
      <c r="K729" s="449">
        <f t="shared" si="215"/>
        <v>0.122</v>
      </c>
      <c r="L729" s="378">
        <f t="shared" si="216"/>
        <v>3.0987999999999998</v>
      </c>
      <c r="M729" s="378">
        <f t="shared" si="209"/>
        <v>16.144278787878783</v>
      </c>
      <c r="N729" s="378">
        <f t="shared" si="217"/>
        <v>-3.1442787878787826</v>
      </c>
    </row>
    <row r="730" spans="1:26" s="399" customFormat="1">
      <c r="A730" s="402" t="s">
        <v>89</v>
      </c>
      <c r="B730" s="449">
        <f t="shared" si="210"/>
        <v>0.25018372703412078</v>
      </c>
      <c r="C730" s="399">
        <v>0.25</v>
      </c>
      <c r="D730" s="399">
        <f t="shared" si="211"/>
        <v>6.35</v>
      </c>
      <c r="E730" s="399">
        <f t="shared" si="212"/>
        <v>0.249</v>
      </c>
      <c r="F730" s="441">
        <f t="shared" si="213"/>
        <v>6.3245999999999993</v>
      </c>
      <c r="G730" s="378">
        <f t="shared" si="208"/>
        <v>12.969933333333332</v>
      </c>
      <c r="H730" s="378">
        <f t="shared" si="214"/>
        <v>3.006666666666824E-2</v>
      </c>
      <c r="K730" s="449">
        <f t="shared" si="215"/>
        <v>0.251</v>
      </c>
      <c r="L730" s="378">
        <f t="shared" si="216"/>
        <v>6.3754</v>
      </c>
      <c r="M730" s="378">
        <f t="shared" si="209"/>
        <v>13.020733333333332</v>
      </c>
      <c r="N730" s="378">
        <f t="shared" si="217"/>
        <v>-2.0733333333332382E-2</v>
      </c>
    </row>
    <row r="731" spans="1:26" s="399" customFormat="1">
      <c r="A731" s="342" t="s">
        <v>245</v>
      </c>
      <c r="B731" s="449">
        <f t="shared" si="210"/>
        <v>0.24793307086614172</v>
      </c>
      <c r="C731" s="399">
        <v>0.248</v>
      </c>
      <c r="D731" s="399">
        <f t="shared" si="211"/>
        <v>6.2991999999999999</v>
      </c>
      <c r="E731" s="399">
        <f t="shared" si="212"/>
        <v>0.247</v>
      </c>
      <c r="F731" s="441">
        <f t="shared" si="213"/>
        <v>6.2737999999999996</v>
      </c>
      <c r="G731" s="378">
        <f t="shared" si="208"/>
        <v>12.9763</v>
      </c>
      <c r="H731" s="378">
        <f t="shared" si="214"/>
        <v>2.3699999999999832E-2</v>
      </c>
      <c r="K731" s="449">
        <f t="shared" si="215"/>
        <v>0.249</v>
      </c>
      <c r="L731" s="378">
        <f t="shared" si="216"/>
        <v>6.3245999999999993</v>
      </c>
      <c r="M731" s="378">
        <f t="shared" si="209"/>
        <v>13.027100000000001</v>
      </c>
      <c r="N731" s="378">
        <f t="shared" si="217"/>
        <v>-2.710000000000079E-2</v>
      </c>
    </row>
    <row r="732" spans="1:26" s="399" customFormat="1">
      <c r="A732" s="402"/>
      <c r="B732" s="449"/>
      <c r="F732" s="441"/>
      <c r="G732" s="378"/>
      <c r="H732" s="378"/>
      <c r="K732" s="449"/>
      <c r="L732" s="378"/>
      <c r="M732" s="378"/>
      <c r="N732" s="378"/>
    </row>
    <row r="733" spans="1:26" s="399" customFormat="1">
      <c r="A733" s="402"/>
      <c r="B733" s="449"/>
      <c r="F733" s="441"/>
      <c r="G733" s="378"/>
      <c r="H733" s="378"/>
      <c r="K733" s="449"/>
      <c r="L733" s="378"/>
      <c r="M733" s="378"/>
      <c r="N733" s="378"/>
    </row>
    <row r="734" spans="1:26" s="399" customFormat="1">
      <c r="A734" s="402"/>
      <c r="B734" s="449"/>
      <c r="F734" s="441"/>
      <c r="G734" s="378"/>
      <c r="H734" s="378"/>
      <c r="K734" s="449"/>
      <c r="L734" s="378"/>
      <c r="M734" s="378"/>
      <c r="N734" s="378"/>
    </row>
    <row r="735" spans="1:26" s="399" customFormat="1">
      <c r="A735" s="402"/>
      <c r="B735" s="449"/>
      <c r="F735" s="441"/>
      <c r="G735" s="378"/>
      <c r="H735" s="378"/>
      <c r="K735" s="449"/>
      <c r="L735" s="378"/>
      <c r="M735" s="378"/>
      <c r="N735" s="378"/>
    </row>
    <row r="736" spans="1:26">
      <c r="A736" s="428" t="s">
        <v>336</v>
      </c>
      <c r="B736" s="126">
        <f>0.0005</f>
        <v>5.0000000000000001E-4</v>
      </c>
      <c r="C736" s="126"/>
      <c r="D736" s="126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 spans="1:26">
      <c r="A737" s="428"/>
      <c r="B737" s="126"/>
      <c r="C737" s="126"/>
      <c r="D737" s="126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 spans="1:26" ht="19.5">
      <c r="A738" s="778" t="s">
        <v>340</v>
      </c>
      <c r="B738" s="778"/>
      <c r="E738" s="392" t="s">
        <v>341</v>
      </c>
      <c r="K738" s="779" t="s">
        <v>339</v>
      </c>
      <c r="L738" s="780"/>
    </row>
    <row r="739" spans="1:26">
      <c r="A739" s="11" t="s">
        <v>246</v>
      </c>
      <c r="B739" s="399" t="s">
        <v>256</v>
      </c>
      <c r="C739" s="436" t="s">
        <v>337</v>
      </c>
      <c r="D739" s="379"/>
      <c r="E739" s="335" t="s">
        <v>342</v>
      </c>
      <c r="F739" s="335"/>
      <c r="G739" s="335" t="s">
        <v>320</v>
      </c>
      <c r="H739" s="443" t="s">
        <v>348</v>
      </c>
      <c r="I739" s="402" t="s">
        <v>271</v>
      </c>
      <c r="J739" s="429" t="s">
        <v>271</v>
      </c>
      <c r="K739" s="335" t="s">
        <v>342</v>
      </c>
      <c r="L739" s="335"/>
      <c r="M739" s="335" t="s">
        <v>320</v>
      </c>
      <c r="N739" s="443" t="s">
        <v>348</v>
      </c>
      <c r="O739" s="402" t="s">
        <v>271</v>
      </c>
      <c r="P739" s="429" t="s">
        <v>271</v>
      </c>
    </row>
    <row r="740" spans="1:26">
      <c r="A740" s="32"/>
      <c r="B740" s="342" t="s">
        <v>112</v>
      </c>
      <c r="C740" s="437" t="s">
        <v>112</v>
      </c>
      <c r="D740" s="393" t="s">
        <v>113</v>
      </c>
      <c r="E740" s="342" t="s">
        <v>112</v>
      </c>
      <c r="F740" s="342" t="s">
        <v>113</v>
      </c>
      <c r="G740" s="342" t="s">
        <v>113</v>
      </c>
      <c r="H740" s="437" t="s">
        <v>113</v>
      </c>
      <c r="I740" s="342" t="s">
        <v>307</v>
      </c>
      <c r="J740" s="393" t="s">
        <v>309</v>
      </c>
      <c r="K740" s="342" t="s">
        <v>112</v>
      </c>
      <c r="L740" s="342" t="s">
        <v>113</v>
      </c>
      <c r="M740" s="342" t="s">
        <v>113</v>
      </c>
      <c r="N740" s="437" t="s">
        <v>113</v>
      </c>
      <c r="O740" s="342" t="s">
        <v>307</v>
      </c>
      <c r="P740" s="393" t="s">
        <v>309</v>
      </c>
    </row>
    <row r="741" spans="1:26">
      <c r="B741" s="399"/>
      <c r="C741" s="436"/>
      <c r="D741" s="379"/>
      <c r="E741" s="399"/>
      <c r="F741" s="399"/>
      <c r="H741" s="401"/>
      <c r="I741" s="399"/>
      <c r="J741" s="379"/>
      <c r="K741" s="399"/>
      <c r="L741" s="399"/>
      <c r="M741" s="399"/>
      <c r="N741" s="401"/>
      <c r="O741" s="399"/>
      <c r="P741" s="400"/>
    </row>
    <row r="742" spans="1:26" s="399" customFormat="1">
      <c r="A742" s="222" t="s">
        <v>6</v>
      </c>
      <c r="B742" s="449">
        <f>N43</f>
        <v>2.4251968503937012E-2</v>
      </c>
      <c r="C742" s="399">
        <f>0.022</f>
        <v>2.1999999999999999E-2</v>
      </c>
      <c r="D742" s="399">
        <f>C742*25.4</f>
        <v>0.55879999999999996</v>
      </c>
      <c r="E742" s="399">
        <f>C742-$B$736</f>
        <v>2.1499999999999998E-2</v>
      </c>
      <c r="F742" s="441">
        <f>E742*25.4</f>
        <v>0.54609999999999992</v>
      </c>
      <c r="G742" s="378">
        <f t="shared" ref="G742:G761" si="218">F742*L43+J43*B43</f>
        <v>12.637399999999996</v>
      </c>
      <c r="H742" s="378">
        <f>13-G742</f>
        <v>0.36260000000000403</v>
      </c>
      <c r="K742" s="449">
        <f>C742+$B$736</f>
        <v>2.2499999999999999E-2</v>
      </c>
      <c r="L742" s="378">
        <f>K742*25.4</f>
        <v>0.5714999999999999</v>
      </c>
      <c r="M742" s="378">
        <f t="shared" ref="M742:M761" si="219">L742*L43+J43*B43</f>
        <v>12.992999999999995</v>
      </c>
      <c r="N742" s="378">
        <f>13-M742</f>
        <v>7.0000000000050022E-3</v>
      </c>
    </row>
    <row r="743" spans="1:26" s="399" customFormat="1">
      <c r="A743" s="222" t="s">
        <v>164</v>
      </c>
      <c r="B743" s="449">
        <f t="shared" ref="B743:B761" si="220">N44</f>
        <v>2.4219386369807222E-2</v>
      </c>
      <c r="C743" s="399">
        <v>2.1999999999999999E-2</v>
      </c>
      <c r="D743" s="399">
        <f t="shared" ref="D743:D761" si="221">C743*25.4</f>
        <v>0.55879999999999996</v>
      </c>
      <c r="E743" s="399">
        <f t="shared" ref="E743:E761" si="222">C743-$B$736</f>
        <v>2.1499999999999998E-2</v>
      </c>
      <c r="F743" s="441">
        <f t="shared" ref="F743:F761" si="223">E743*25.4</f>
        <v>0.54609999999999992</v>
      </c>
      <c r="G743" s="378">
        <f t="shared" si="218"/>
        <v>12.648158620689655</v>
      </c>
      <c r="H743" s="378">
        <f t="shared" ref="H743:H761" si="224">13-G743</f>
        <v>0.3518413793103452</v>
      </c>
      <c r="K743" s="449">
        <f t="shared" ref="K743:K761" si="225">C743+$B$736</f>
        <v>2.2499999999999999E-2</v>
      </c>
      <c r="L743" s="378">
        <f t="shared" ref="L743:L761" si="226">K743*25.4</f>
        <v>0.5714999999999999</v>
      </c>
      <c r="M743" s="378">
        <f t="shared" si="219"/>
        <v>13.003758620689654</v>
      </c>
      <c r="N743" s="378">
        <f t="shared" ref="N743:N761" si="227">13-M743</f>
        <v>-3.7586206896538243E-3</v>
      </c>
    </row>
    <row r="744" spans="1:26" s="399" customFormat="1">
      <c r="A744" s="222" t="s">
        <v>9</v>
      </c>
      <c r="B744" s="449">
        <f t="shared" si="220"/>
        <v>2.2947983774755456E-2</v>
      </c>
      <c r="C744" s="399">
        <v>2.0500000000000001E-2</v>
      </c>
      <c r="D744" s="399">
        <f t="shared" si="221"/>
        <v>0.52069999999999994</v>
      </c>
      <c r="E744" s="399">
        <f t="shared" si="222"/>
        <v>0.02</v>
      </c>
      <c r="F744" s="441">
        <f t="shared" si="223"/>
        <v>0.50800000000000001</v>
      </c>
      <c r="G744" s="378">
        <f t="shared" si="218"/>
        <v>12.609454545454536</v>
      </c>
      <c r="H744" s="378">
        <f t="shared" si="224"/>
        <v>0.39054545454546385</v>
      </c>
      <c r="K744" s="449">
        <f t="shared" si="225"/>
        <v>2.1000000000000001E-2</v>
      </c>
      <c r="L744" s="378">
        <f t="shared" si="226"/>
        <v>0.53339999999999999</v>
      </c>
      <c r="M744" s="378">
        <f t="shared" si="219"/>
        <v>12.939654545454538</v>
      </c>
      <c r="N744" s="378">
        <f t="shared" si="227"/>
        <v>6.0345454545462474E-2</v>
      </c>
    </row>
    <row r="745" spans="1:26" s="399" customFormat="1">
      <c r="A745" s="222" t="s">
        <v>165</v>
      </c>
      <c r="B745" s="449">
        <f t="shared" si="220"/>
        <v>2.2399801376179307E-2</v>
      </c>
      <c r="C745" s="399">
        <v>0.02</v>
      </c>
      <c r="D745" s="399">
        <f t="shared" si="221"/>
        <v>0.50800000000000001</v>
      </c>
      <c r="E745" s="399">
        <f t="shared" si="222"/>
        <v>1.95E-2</v>
      </c>
      <c r="F745" s="441">
        <f t="shared" si="223"/>
        <v>0.49529999999999996</v>
      </c>
      <c r="G745" s="378">
        <f t="shared" si="218"/>
        <v>12.611440540540546</v>
      </c>
      <c r="H745" s="378">
        <f t="shared" si="224"/>
        <v>0.38855945945945436</v>
      </c>
      <c r="K745" s="449">
        <f t="shared" si="225"/>
        <v>2.0500000000000001E-2</v>
      </c>
      <c r="L745" s="378">
        <f t="shared" si="226"/>
        <v>0.52069999999999994</v>
      </c>
      <c r="M745" s="378">
        <f t="shared" si="219"/>
        <v>12.941640540540545</v>
      </c>
      <c r="N745" s="378">
        <f t="shared" si="227"/>
        <v>5.8359459459454754E-2</v>
      </c>
    </row>
    <row r="746" spans="1:26" s="399" customFormat="1">
      <c r="A746" s="222" t="s">
        <v>11</v>
      </c>
      <c r="B746" s="449">
        <f t="shared" si="220"/>
        <v>2.6825340014316426E-2</v>
      </c>
      <c r="C746" s="399">
        <v>2.4E-2</v>
      </c>
      <c r="D746" s="399">
        <f t="shared" si="221"/>
        <v>0.60960000000000003</v>
      </c>
      <c r="E746" s="399">
        <f t="shared" si="222"/>
        <v>2.35E-2</v>
      </c>
      <c r="F746" s="441">
        <f t="shared" si="223"/>
        <v>0.59689999999999999</v>
      </c>
      <c r="G746" s="378">
        <f t="shared" si="218"/>
        <v>12.667799999999993</v>
      </c>
      <c r="H746" s="378">
        <f t="shared" si="224"/>
        <v>0.33220000000000738</v>
      </c>
      <c r="K746" s="449">
        <f t="shared" si="225"/>
        <v>2.4500000000000001E-2</v>
      </c>
      <c r="L746" s="378">
        <f t="shared" si="226"/>
        <v>0.62229999999999996</v>
      </c>
      <c r="M746" s="378">
        <f t="shared" si="219"/>
        <v>12.972599999999991</v>
      </c>
      <c r="N746" s="378">
        <f t="shared" si="227"/>
        <v>2.7400000000008973E-2</v>
      </c>
    </row>
    <row r="747" spans="1:26" s="399" customFormat="1">
      <c r="A747" s="222" t="s">
        <v>226</v>
      </c>
      <c r="B747" s="449">
        <f t="shared" si="220"/>
        <v>2.6277157615740277E-2</v>
      </c>
      <c r="C747" s="399">
        <v>2.2499999999999999E-2</v>
      </c>
      <c r="D747" s="399">
        <f t="shared" si="221"/>
        <v>0.5714999999999999</v>
      </c>
      <c r="E747" s="399">
        <f t="shared" si="222"/>
        <v>2.1999999999999999E-2</v>
      </c>
      <c r="F747" s="441">
        <f t="shared" si="223"/>
        <v>0.55879999999999996</v>
      </c>
      <c r="G747" s="378">
        <f t="shared" si="218"/>
        <v>12.363762162162168</v>
      </c>
      <c r="H747" s="378">
        <f t="shared" si="224"/>
        <v>0.63623783783783239</v>
      </c>
      <c r="K747" s="449">
        <f t="shared" si="225"/>
        <v>2.3E-2</v>
      </c>
      <c r="L747" s="378">
        <f t="shared" si="226"/>
        <v>0.58419999999999994</v>
      </c>
      <c r="M747" s="378">
        <f t="shared" si="219"/>
        <v>12.668562162162166</v>
      </c>
      <c r="N747" s="378">
        <f t="shared" si="227"/>
        <v>0.33143783783783398</v>
      </c>
    </row>
    <row r="748" spans="1:26" s="399" customFormat="1">
      <c r="A748" s="402" t="s">
        <v>13</v>
      </c>
      <c r="B748" s="449">
        <f t="shared" si="220"/>
        <v>3.1478167501789583E-2</v>
      </c>
      <c r="C748" s="399">
        <v>2.8000000000000001E-2</v>
      </c>
      <c r="D748" s="399">
        <f t="shared" si="221"/>
        <v>0.71119999999999994</v>
      </c>
      <c r="E748" s="399">
        <f t="shared" si="222"/>
        <v>2.75E-2</v>
      </c>
      <c r="F748" s="441">
        <f t="shared" si="223"/>
        <v>0.69850000000000001</v>
      </c>
      <c r="G748" s="378">
        <f t="shared" si="218"/>
        <v>12.688045454545447</v>
      </c>
      <c r="H748" s="378">
        <f t="shared" si="224"/>
        <v>0.3119545454545527</v>
      </c>
      <c r="K748" s="449">
        <f t="shared" si="225"/>
        <v>2.8500000000000001E-2</v>
      </c>
      <c r="L748" s="378">
        <f t="shared" si="226"/>
        <v>0.72389999999999999</v>
      </c>
      <c r="M748" s="378">
        <f t="shared" si="219"/>
        <v>12.967445454545446</v>
      </c>
      <c r="N748" s="378">
        <f t="shared" si="227"/>
        <v>3.2554545454553718E-2</v>
      </c>
    </row>
    <row r="749" spans="1:26" s="399" customFormat="1">
      <c r="A749" s="402" t="s">
        <v>15</v>
      </c>
      <c r="B749" s="449">
        <f t="shared" si="220"/>
        <v>3.2027559055118122E-2</v>
      </c>
      <c r="C749" s="399">
        <v>2.8000000000000001E-2</v>
      </c>
      <c r="D749" s="399">
        <f t="shared" si="221"/>
        <v>0.71119999999999994</v>
      </c>
      <c r="E749" s="399">
        <f t="shared" si="222"/>
        <v>2.75E-2</v>
      </c>
      <c r="F749" s="441">
        <f t="shared" si="223"/>
        <v>0.69850000000000001</v>
      </c>
      <c r="G749" s="378">
        <f t="shared" si="218"/>
        <v>12.663499999999999</v>
      </c>
      <c r="H749" s="378">
        <f t="shared" si="224"/>
        <v>0.33650000000000091</v>
      </c>
      <c r="K749" s="449">
        <f t="shared" si="225"/>
        <v>2.8500000000000001E-2</v>
      </c>
      <c r="L749" s="378">
        <f t="shared" si="226"/>
        <v>0.72389999999999999</v>
      </c>
      <c r="M749" s="378">
        <f t="shared" si="219"/>
        <v>12.917499999999997</v>
      </c>
      <c r="N749" s="378">
        <f t="shared" si="227"/>
        <v>8.2500000000003126E-2</v>
      </c>
    </row>
    <row r="750" spans="1:26" s="399" customFormat="1">
      <c r="A750" s="402" t="s">
        <v>17</v>
      </c>
      <c r="B750" s="449">
        <f t="shared" si="220"/>
        <v>3.3750468691413571E-2</v>
      </c>
      <c r="C750" s="399">
        <v>2.9000000000000001E-2</v>
      </c>
      <c r="D750" s="399">
        <f t="shared" si="221"/>
        <v>0.73660000000000003</v>
      </c>
      <c r="E750" s="399">
        <f t="shared" si="222"/>
        <v>2.8500000000000001E-2</v>
      </c>
      <c r="F750" s="441">
        <f t="shared" si="223"/>
        <v>0.72389999999999999</v>
      </c>
      <c r="G750" s="378">
        <f t="shared" si="218"/>
        <v>12.657004761904762</v>
      </c>
      <c r="H750" s="378">
        <f t="shared" si="224"/>
        <v>0.34299523809523791</v>
      </c>
      <c r="K750" s="449">
        <f t="shared" si="225"/>
        <v>2.9500000000000002E-2</v>
      </c>
      <c r="L750" s="378">
        <f t="shared" si="226"/>
        <v>0.74929999999999997</v>
      </c>
      <c r="M750" s="378">
        <f t="shared" si="219"/>
        <v>12.885604761904762</v>
      </c>
      <c r="N750" s="378">
        <f t="shared" si="227"/>
        <v>0.11439523809523777</v>
      </c>
    </row>
    <row r="751" spans="1:26" s="399" customFormat="1">
      <c r="A751" s="402" t="s">
        <v>19</v>
      </c>
      <c r="B751" s="449">
        <f t="shared" si="220"/>
        <v>3.7962991112597495E-2</v>
      </c>
      <c r="C751" s="399">
        <v>3.2500000000000001E-2</v>
      </c>
      <c r="D751" s="399">
        <f t="shared" si="221"/>
        <v>0.82550000000000001</v>
      </c>
      <c r="E751" s="399">
        <f t="shared" si="222"/>
        <v>3.2000000000000001E-2</v>
      </c>
      <c r="F751" s="441">
        <f t="shared" si="223"/>
        <v>0.81279999999999997</v>
      </c>
      <c r="G751" s="378">
        <f t="shared" si="218"/>
        <v>12.752580180180166</v>
      </c>
      <c r="H751" s="378">
        <f t="shared" si="224"/>
        <v>0.24741981981983407</v>
      </c>
      <c r="K751" s="449">
        <f t="shared" si="225"/>
        <v>3.3000000000000002E-2</v>
      </c>
      <c r="L751" s="378">
        <f t="shared" si="226"/>
        <v>0.83819999999999995</v>
      </c>
      <c r="M751" s="378">
        <f t="shared" si="219"/>
        <v>12.955780180180167</v>
      </c>
      <c r="N751" s="378">
        <f t="shared" si="227"/>
        <v>4.4219819819833361E-2</v>
      </c>
    </row>
    <row r="752" spans="1:26" s="399" customFormat="1">
      <c r="A752" s="402" t="s">
        <v>168</v>
      </c>
      <c r="B752" s="449">
        <f t="shared" si="220"/>
        <v>3.8389135181631708E-2</v>
      </c>
      <c r="C752" s="399">
        <v>3.3000000000000002E-2</v>
      </c>
      <c r="D752" s="399">
        <f t="shared" si="221"/>
        <v>0.83819999999999995</v>
      </c>
      <c r="E752" s="399">
        <f t="shared" si="222"/>
        <v>3.2500000000000001E-2</v>
      </c>
      <c r="F752" s="441">
        <f t="shared" si="223"/>
        <v>0.82550000000000001</v>
      </c>
      <c r="G752" s="378">
        <f t="shared" si="218"/>
        <v>12.778411764705883</v>
      </c>
      <c r="H752" s="378">
        <f t="shared" si="224"/>
        <v>0.2215882352941172</v>
      </c>
      <c r="K752" s="449">
        <f t="shared" si="225"/>
        <v>3.3500000000000002E-2</v>
      </c>
      <c r="L752" s="378">
        <f t="shared" si="226"/>
        <v>0.85089999999999999</v>
      </c>
      <c r="M752" s="378">
        <f t="shared" si="219"/>
        <v>12.981611764705884</v>
      </c>
      <c r="N752" s="378">
        <f t="shared" si="227"/>
        <v>1.8388235294116484E-2</v>
      </c>
    </row>
    <row r="753" spans="1:14" s="399" customFormat="1">
      <c r="A753" s="402" t="s">
        <v>21</v>
      </c>
      <c r="B753" s="449">
        <f t="shared" si="220"/>
        <v>4.4992125984251945E-2</v>
      </c>
      <c r="C753" s="399">
        <v>3.7999999999999999E-2</v>
      </c>
      <c r="D753" s="399">
        <f t="shared" si="221"/>
        <v>0.96519999999999995</v>
      </c>
      <c r="E753" s="399">
        <f t="shared" si="222"/>
        <v>3.7499999999999999E-2</v>
      </c>
      <c r="F753" s="441">
        <f t="shared" si="223"/>
        <v>0.9524999999999999</v>
      </c>
      <c r="G753" s="378">
        <f t="shared" si="218"/>
        <v>12.810700000000002</v>
      </c>
      <c r="H753" s="378">
        <f t="shared" si="224"/>
        <v>0.18929999999999758</v>
      </c>
      <c r="K753" s="449">
        <f t="shared" si="225"/>
        <v>3.85E-2</v>
      </c>
      <c r="L753" s="378">
        <f t="shared" si="226"/>
        <v>0.97789999999999988</v>
      </c>
      <c r="M753" s="378">
        <f t="shared" si="219"/>
        <v>12.988500000000002</v>
      </c>
      <c r="N753" s="378">
        <f t="shared" si="227"/>
        <v>1.1499999999998067E-2</v>
      </c>
    </row>
    <row r="754" spans="1:14" s="399" customFormat="1">
      <c r="A754" s="402" t="s">
        <v>243</v>
      </c>
      <c r="B754" s="449">
        <f t="shared" si="220"/>
        <v>4.4890523552976916E-2</v>
      </c>
      <c r="C754" s="399">
        <v>3.7999999999999999E-2</v>
      </c>
      <c r="D754" s="399">
        <f t="shared" si="221"/>
        <v>0.96519999999999995</v>
      </c>
      <c r="E754" s="399">
        <f t="shared" si="222"/>
        <v>3.7499999999999999E-2</v>
      </c>
      <c r="F754" s="441">
        <f t="shared" si="223"/>
        <v>0.9524999999999999</v>
      </c>
      <c r="G754" s="378">
        <f t="shared" si="218"/>
        <v>12.826184210526318</v>
      </c>
      <c r="H754" s="378">
        <f t="shared" si="224"/>
        <v>0.17381578947368226</v>
      </c>
      <c r="K754" s="449">
        <f t="shared" si="225"/>
        <v>3.85E-2</v>
      </c>
      <c r="L754" s="378">
        <f t="shared" si="226"/>
        <v>0.97789999999999988</v>
      </c>
      <c r="M754" s="378">
        <f t="shared" si="219"/>
        <v>13.003984210526315</v>
      </c>
      <c r="N754" s="378">
        <f t="shared" si="227"/>
        <v>-3.9842105263154792E-3</v>
      </c>
    </row>
    <row r="755" spans="1:14" s="399" customFormat="1">
      <c r="A755" s="402" t="s">
        <v>22</v>
      </c>
      <c r="B755" s="449">
        <f t="shared" si="220"/>
        <v>5.0390576177977736E-2</v>
      </c>
      <c r="C755" s="399">
        <v>4.1500000000000002E-2</v>
      </c>
      <c r="D755" s="399">
        <f t="shared" si="221"/>
        <v>1.0541</v>
      </c>
      <c r="E755" s="399">
        <f t="shared" si="222"/>
        <v>4.1000000000000002E-2</v>
      </c>
      <c r="F755" s="441">
        <f t="shared" si="223"/>
        <v>1.0413999999999999</v>
      </c>
      <c r="G755" s="378">
        <f t="shared" si="218"/>
        <v>12.848796825396828</v>
      </c>
      <c r="H755" s="378">
        <f t="shared" si="224"/>
        <v>0.15120317460317168</v>
      </c>
      <c r="K755" s="449">
        <f t="shared" si="225"/>
        <v>4.2000000000000003E-2</v>
      </c>
      <c r="L755" s="378">
        <f t="shared" si="226"/>
        <v>1.0668</v>
      </c>
      <c r="M755" s="378">
        <f t="shared" si="219"/>
        <v>13.001196825396828</v>
      </c>
      <c r="N755" s="378">
        <f t="shared" si="227"/>
        <v>-1.1968253968284159E-3</v>
      </c>
    </row>
    <row r="756" spans="1:14" s="399" customFormat="1">
      <c r="A756" s="402" t="s">
        <v>244</v>
      </c>
      <c r="B756" s="449">
        <f t="shared" si="220"/>
        <v>5.1884139482564665E-2</v>
      </c>
      <c r="C756" s="399">
        <v>4.2500000000000003E-2</v>
      </c>
      <c r="D756" s="399">
        <f t="shared" si="221"/>
        <v>1.0795000000000001</v>
      </c>
      <c r="E756" s="399">
        <f t="shared" si="222"/>
        <v>4.2000000000000003E-2</v>
      </c>
      <c r="F756" s="441">
        <f t="shared" si="223"/>
        <v>1.0668</v>
      </c>
      <c r="G756" s="378">
        <f t="shared" si="218"/>
        <v>12.811514285714289</v>
      </c>
      <c r="H756" s="378">
        <f t="shared" si="224"/>
        <v>0.18848571428571148</v>
      </c>
      <c r="K756" s="449">
        <f t="shared" si="225"/>
        <v>4.3000000000000003E-2</v>
      </c>
      <c r="L756" s="378">
        <f t="shared" si="226"/>
        <v>1.0922000000000001</v>
      </c>
      <c r="M756" s="378">
        <f t="shared" si="219"/>
        <v>12.963914285714289</v>
      </c>
      <c r="N756" s="378">
        <f t="shared" si="227"/>
        <v>3.608571428571139E-2</v>
      </c>
    </row>
    <row r="757" spans="1:14" s="399" customFormat="1">
      <c r="A757" s="402" t="s">
        <v>24</v>
      </c>
      <c r="B757" s="449">
        <f t="shared" si="220"/>
        <v>6.7240813648293957E-2</v>
      </c>
      <c r="C757" s="399">
        <v>5.33E-2</v>
      </c>
      <c r="D757" s="399">
        <f t="shared" si="221"/>
        <v>1.35382</v>
      </c>
      <c r="E757" s="399">
        <f t="shared" si="222"/>
        <v>5.28E-2</v>
      </c>
      <c r="F757" s="441">
        <f t="shared" si="223"/>
        <v>1.3411199999999999</v>
      </c>
      <c r="G757" s="378">
        <f t="shared" si="218"/>
        <v>12.873933333333333</v>
      </c>
      <c r="H757" s="378">
        <f t="shared" si="224"/>
        <v>0.12606666666666655</v>
      </c>
      <c r="K757" s="449">
        <f t="shared" si="225"/>
        <v>5.3800000000000001E-2</v>
      </c>
      <c r="L757" s="378">
        <f t="shared" si="226"/>
        <v>1.36652</v>
      </c>
      <c r="M757" s="378">
        <f t="shared" si="219"/>
        <v>13.000933333333332</v>
      </c>
      <c r="N757" s="378">
        <f t="shared" si="227"/>
        <v>-9.3333333333234236E-4</v>
      </c>
    </row>
    <row r="758" spans="1:14" s="399" customFormat="1">
      <c r="A758" s="402" t="s">
        <v>26</v>
      </c>
      <c r="B758" s="449">
        <f t="shared" si="220"/>
        <v>9.2331036745406853E-2</v>
      </c>
      <c r="C758" s="399">
        <v>6.8699999999999997E-2</v>
      </c>
      <c r="D758" s="399">
        <f t="shared" si="221"/>
        <v>1.7449799999999998</v>
      </c>
      <c r="E758" s="399">
        <f t="shared" si="222"/>
        <v>6.8199999999999997E-2</v>
      </c>
      <c r="F758" s="441">
        <f t="shared" si="223"/>
        <v>1.7322799999999998</v>
      </c>
      <c r="G758" s="378">
        <f t="shared" si="218"/>
        <v>12.893494999999998</v>
      </c>
      <c r="H758" s="378">
        <f t="shared" si="224"/>
        <v>0.10650500000000207</v>
      </c>
      <c r="K758" s="449">
        <f t="shared" si="225"/>
        <v>6.9199999999999998E-2</v>
      </c>
      <c r="L758" s="378">
        <f t="shared" si="226"/>
        <v>1.7576799999999999</v>
      </c>
      <c r="M758" s="378">
        <f t="shared" si="219"/>
        <v>12.995094999999997</v>
      </c>
      <c r="N758" s="378">
        <f t="shared" si="227"/>
        <v>4.9050000000026017E-3</v>
      </c>
    </row>
    <row r="759" spans="1:14" s="399" customFormat="1">
      <c r="A759" s="402" t="s">
        <v>239</v>
      </c>
      <c r="B759" s="449">
        <f t="shared" si="220"/>
        <v>0.12110474827010266</v>
      </c>
      <c r="C759" s="399">
        <v>0.1</v>
      </c>
      <c r="D759" s="399">
        <f t="shared" si="221"/>
        <v>2.54</v>
      </c>
      <c r="E759" s="399">
        <f t="shared" si="222"/>
        <v>9.9500000000000005E-2</v>
      </c>
      <c r="F759" s="441">
        <f t="shared" si="223"/>
        <v>2.5272999999999999</v>
      </c>
      <c r="G759" s="378">
        <f t="shared" si="218"/>
        <v>14.429778787878785</v>
      </c>
      <c r="H759" s="378">
        <f t="shared" si="224"/>
        <v>-1.4297787878787851</v>
      </c>
      <c r="K759" s="449">
        <f t="shared" si="225"/>
        <v>0.10050000000000001</v>
      </c>
      <c r="L759" s="378">
        <f t="shared" si="226"/>
        <v>2.5527000000000002</v>
      </c>
      <c r="M759" s="378">
        <f t="shared" si="219"/>
        <v>14.505978787878785</v>
      </c>
      <c r="N759" s="378">
        <f t="shared" si="227"/>
        <v>-1.5059787878787851</v>
      </c>
    </row>
    <row r="760" spans="1:14" s="399" customFormat="1">
      <c r="A760" s="402" t="s">
        <v>89</v>
      </c>
      <c r="B760" s="449">
        <f t="shared" si="220"/>
        <v>0.25018372703412078</v>
      </c>
      <c r="C760" s="399">
        <v>0.25</v>
      </c>
      <c r="D760" s="399">
        <f t="shared" si="221"/>
        <v>6.35</v>
      </c>
      <c r="E760" s="399">
        <f t="shared" si="222"/>
        <v>0.2495</v>
      </c>
      <c r="F760" s="441">
        <f t="shared" si="223"/>
        <v>6.3372999999999999</v>
      </c>
      <c r="G760" s="378">
        <f t="shared" si="218"/>
        <v>12.982633333333332</v>
      </c>
      <c r="H760" s="378">
        <f t="shared" si="224"/>
        <v>1.7366666666667641E-2</v>
      </c>
      <c r="K760" s="449">
        <f t="shared" si="225"/>
        <v>0.2505</v>
      </c>
      <c r="L760" s="378">
        <f t="shared" si="226"/>
        <v>6.3626999999999994</v>
      </c>
      <c r="M760" s="378">
        <f t="shared" si="219"/>
        <v>13.008033333333332</v>
      </c>
      <c r="N760" s="378">
        <f t="shared" si="227"/>
        <v>-8.0333333333317825E-3</v>
      </c>
    </row>
    <row r="761" spans="1:14" s="399" customFormat="1">
      <c r="A761" s="342" t="s">
        <v>245</v>
      </c>
      <c r="B761" s="449">
        <f t="shared" si="220"/>
        <v>0.24793307086614172</v>
      </c>
      <c r="C761" s="399">
        <v>0.248</v>
      </c>
      <c r="D761" s="399">
        <f t="shared" si="221"/>
        <v>6.2991999999999999</v>
      </c>
      <c r="E761" s="399">
        <f t="shared" si="222"/>
        <v>0.2475</v>
      </c>
      <c r="F761" s="441">
        <f t="shared" si="223"/>
        <v>6.2864999999999993</v>
      </c>
      <c r="G761" s="378">
        <f t="shared" si="218"/>
        <v>12.989000000000001</v>
      </c>
      <c r="H761" s="378">
        <f t="shared" si="224"/>
        <v>1.0999999999999233E-2</v>
      </c>
      <c r="K761" s="449">
        <f t="shared" si="225"/>
        <v>0.2485</v>
      </c>
      <c r="L761" s="378">
        <f t="shared" si="226"/>
        <v>6.3118999999999996</v>
      </c>
      <c r="M761" s="378">
        <f t="shared" si="219"/>
        <v>13.0144</v>
      </c>
      <c r="N761" s="378">
        <f t="shared" si="227"/>
        <v>-1.440000000000019E-2</v>
      </c>
    </row>
    <row r="762" spans="1:14" s="399" customFormat="1">
      <c r="A762" s="402"/>
      <c r="B762" s="449"/>
      <c r="F762" s="441"/>
      <c r="G762" s="378"/>
      <c r="H762" s="378"/>
      <c r="K762" s="449"/>
      <c r="L762" s="378"/>
      <c r="M762" s="378"/>
      <c r="N762" s="378"/>
    </row>
    <row r="763" spans="1:14">
      <c r="F763" s="441"/>
    </row>
    <row r="764" spans="1:14">
      <c r="F764" s="441"/>
    </row>
    <row r="765" spans="1:14" s="447" customFormat="1" ht="15.75" thickBot="1">
      <c r="A765" s="446"/>
      <c r="F765" s="448"/>
    </row>
    <row r="766" spans="1:14" ht="15.75" thickTop="1">
      <c r="F766" s="441"/>
    </row>
    <row r="767" spans="1:14">
      <c r="F767" s="441"/>
    </row>
    <row r="768" spans="1:14" ht="26.25">
      <c r="A768" s="388" t="s">
        <v>333</v>
      </c>
      <c r="F768" s="441"/>
    </row>
    <row r="769" spans="1:46" ht="27" thickBot="1">
      <c r="A769" s="388" t="s">
        <v>332</v>
      </c>
      <c r="B769" s="388"/>
      <c r="C769" s="388"/>
      <c r="D769" s="388"/>
      <c r="F769" s="441"/>
    </row>
    <row r="770" spans="1:46">
      <c r="F770" s="441"/>
      <c r="M770" s="4"/>
      <c r="N770" s="5"/>
      <c r="O770" s="11"/>
      <c r="P770" s="11"/>
      <c r="Q770" s="5"/>
      <c r="R770" s="5" t="s">
        <v>269</v>
      </c>
      <c r="S770" s="11"/>
      <c r="T770" s="11"/>
      <c r="U770" s="11"/>
      <c r="V770" s="11"/>
      <c r="W770" s="11"/>
      <c r="X770" s="11"/>
      <c r="Y770" s="11"/>
      <c r="Z770" s="5" t="s">
        <v>273</v>
      </c>
      <c r="AA770" s="11"/>
      <c r="AB770" s="11"/>
      <c r="AC770" s="11"/>
      <c r="AD770" s="11"/>
      <c r="AE770" s="11"/>
      <c r="AF770" s="11"/>
      <c r="AG770" s="11"/>
      <c r="AH770" s="11"/>
      <c r="AI770" s="11"/>
      <c r="AJ770" s="317" t="s">
        <v>317</v>
      </c>
      <c r="AK770" s="406"/>
      <c r="AL770" s="406"/>
      <c r="AM770" s="406"/>
      <c r="AN770" s="406"/>
      <c r="AO770" s="406"/>
      <c r="AP770" s="406"/>
      <c r="AQ770" s="406"/>
      <c r="AR770" s="407"/>
    </row>
    <row r="771" spans="1:46">
      <c r="A771" s="11" t="s">
        <v>246</v>
      </c>
      <c r="B771" s="5" t="s">
        <v>241</v>
      </c>
      <c r="C771" s="4" t="s">
        <v>247</v>
      </c>
      <c r="D771" s="11" t="s">
        <v>254</v>
      </c>
      <c r="E771" s="11" t="s">
        <v>248</v>
      </c>
      <c r="F771" s="5" t="s">
        <v>234</v>
      </c>
      <c r="G771" s="11"/>
      <c r="H771" s="4" t="s">
        <v>227</v>
      </c>
      <c r="I771" s="5" t="s">
        <v>255</v>
      </c>
      <c r="J771" s="11" t="s">
        <v>272</v>
      </c>
      <c r="K771" s="11" t="s">
        <v>272</v>
      </c>
      <c r="L771" s="11" t="s">
        <v>272</v>
      </c>
      <c r="M771" s="4" t="s">
        <v>267</v>
      </c>
      <c r="N771" s="139" t="s">
        <v>262</v>
      </c>
      <c r="O771" s="11" t="s">
        <v>256</v>
      </c>
      <c r="P771" s="11" t="s">
        <v>256</v>
      </c>
      <c r="Q771" s="367" t="s">
        <v>280</v>
      </c>
      <c r="R771" s="349" t="s">
        <v>257</v>
      </c>
      <c r="S771" s="37"/>
      <c r="T771" s="15" t="s">
        <v>281</v>
      </c>
      <c r="U771" s="15" t="s">
        <v>277</v>
      </c>
      <c r="V771" s="11" t="s">
        <v>276</v>
      </c>
      <c r="W771" s="15" t="s">
        <v>301</v>
      </c>
      <c r="X771" s="15" t="s">
        <v>320</v>
      </c>
      <c r="Y771" s="15"/>
      <c r="Z771" s="349" t="s">
        <v>257</v>
      </c>
      <c r="AA771" s="37"/>
      <c r="AB771" s="15" t="s">
        <v>281</v>
      </c>
      <c r="AC771" s="11" t="s">
        <v>278</v>
      </c>
      <c r="AD771" s="11" t="s">
        <v>274</v>
      </c>
      <c r="AE771" s="11"/>
      <c r="AF771" s="15" t="s">
        <v>320</v>
      </c>
      <c r="AG771" s="15"/>
      <c r="AH771" s="11" t="s">
        <v>271</v>
      </c>
      <c r="AI771" s="15" t="s">
        <v>271</v>
      </c>
      <c r="AJ771" s="419" t="s">
        <v>318</v>
      </c>
      <c r="AK771" s="11"/>
      <c r="AL771" s="15" t="s">
        <v>319</v>
      </c>
      <c r="AM771" s="15" t="s">
        <v>281</v>
      </c>
      <c r="AN771" s="15" t="s">
        <v>316</v>
      </c>
      <c r="AO771" s="11"/>
      <c r="AP771" s="15" t="s">
        <v>320</v>
      </c>
      <c r="AQ771" s="15" t="s">
        <v>271</v>
      </c>
      <c r="AR771" s="420" t="s">
        <v>271</v>
      </c>
      <c r="AS771" s="11" t="s">
        <v>258</v>
      </c>
      <c r="AT771" s="11" t="s">
        <v>259</v>
      </c>
    </row>
    <row r="772" spans="1:46">
      <c r="A772" s="32"/>
      <c r="B772" s="2"/>
      <c r="C772" s="1" t="s">
        <v>113</v>
      </c>
      <c r="D772" s="32" t="s">
        <v>266</v>
      </c>
      <c r="E772" s="32" t="s">
        <v>266</v>
      </c>
      <c r="F772" s="2" t="s">
        <v>113</v>
      </c>
      <c r="G772" s="32" t="s">
        <v>112</v>
      </c>
      <c r="H772" s="1" t="s">
        <v>237</v>
      </c>
      <c r="I772" s="2"/>
      <c r="J772" s="32" t="s">
        <v>113</v>
      </c>
      <c r="K772" s="32" t="s">
        <v>112</v>
      </c>
      <c r="L772" s="32" t="s">
        <v>268</v>
      </c>
      <c r="M772" s="1"/>
      <c r="N772" s="155" t="s">
        <v>263</v>
      </c>
      <c r="O772" s="32" t="s">
        <v>113</v>
      </c>
      <c r="P772" s="32" t="s">
        <v>112</v>
      </c>
      <c r="Q772" s="2"/>
      <c r="R772" s="350" t="s">
        <v>112</v>
      </c>
      <c r="S772" s="341" t="s">
        <v>113</v>
      </c>
      <c r="T772" s="111" t="s">
        <v>282</v>
      </c>
      <c r="U772" s="111" t="s">
        <v>113</v>
      </c>
      <c r="V772" s="32" t="s">
        <v>113</v>
      </c>
      <c r="W772" s="32" t="s">
        <v>113</v>
      </c>
      <c r="X772" s="32" t="s">
        <v>113</v>
      </c>
      <c r="Y772" s="32" t="s">
        <v>275</v>
      </c>
      <c r="Z772" s="350" t="s">
        <v>112</v>
      </c>
      <c r="AA772" s="341" t="s">
        <v>113</v>
      </c>
      <c r="AB772" s="111" t="s">
        <v>282</v>
      </c>
      <c r="AC772" s="32" t="s">
        <v>113</v>
      </c>
      <c r="AD772" s="32" t="s">
        <v>113</v>
      </c>
      <c r="AE772" s="32" t="s">
        <v>275</v>
      </c>
      <c r="AF772" s="32" t="s">
        <v>113</v>
      </c>
      <c r="AG772" s="32" t="s">
        <v>275</v>
      </c>
      <c r="AH772" s="32" t="s">
        <v>307</v>
      </c>
      <c r="AI772" s="32" t="s">
        <v>309</v>
      </c>
      <c r="AJ772" s="421" t="s">
        <v>112</v>
      </c>
      <c r="AK772" s="341" t="s">
        <v>113</v>
      </c>
      <c r="AL772" s="32" t="s">
        <v>282</v>
      </c>
      <c r="AM772" s="32" t="s">
        <v>113</v>
      </c>
      <c r="AN772" s="32" t="s">
        <v>113</v>
      </c>
      <c r="AO772" s="32" t="s">
        <v>275</v>
      </c>
      <c r="AP772" s="32" t="s">
        <v>113</v>
      </c>
      <c r="AQ772" s="32" t="s">
        <v>307</v>
      </c>
      <c r="AR772" s="422" t="s">
        <v>309</v>
      </c>
      <c r="AS772" s="32" t="s">
        <v>260</v>
      </c>
      <c r="AT772" s="32" t="s">
        <v>261</v>
      </c>
    </row>
    <row r="773" spans="1:46">
      <c r="B773" s="5"/>
      <c r="C773" s="4"/>
      <c r="F773" s="5"/>
      <c r="G773" s="11"/>
      <c r="H773" s="4"/>
      <c r="I773" s="5"/>
      <c r="J773" s="11"/>
      <c r="K773" s="11"/>
      <c r="L773" s="11"/>
      <c r="M773" s="4"/>
      <c r="N773" s="139"/>
      <c r="O773" s="11"/>
      <c r="P773" s="11"/>
      <c r="Q773" s="5"/>
      <c r="R773" s="349"/>
      <c r="S773" s="37"/>
      <c r="T773" s="66"/>
      <c r="U773" s="66"/>
      <c r="V773" s="11"/>
      <c r="W773" s="11"/>
      <c r="X773" s="11"/>
      <c r="Y773" s="11"/>
      <c r="Z773" s="5"/>
      <c r="AA773" s="11"/>
      <c r="AB773" s="66"/>
      <c r="AC773" s="66"/>
      <c r="AD773" s="11"/>
      <c r="AE773" s="11"/>
      <c r="AF773" s="11"/>
      <c r="AG773" s="11"/>
      <c r="AH773" s="11"/>
      <c r="AI773" s="11"/>
      <c r="AJ773" s="319"/>
      <c r="AK773" s="37"/>
      <c r="AL773" s="11"/>
      <c r="AM773" s="11"/>
      <c r="AN773" s="11"/>
      <c r="AO773" s="11"/>
      <c r="AP773" s="11"/>
      <c r="AQ773" s="11"/>
      <c r="AR773" s="322"/>
      <c r="AS773" s="11"/>
    </row>
    <row r="774" spans="1:46">
      <c r="A774" s="66" t="s">
        <v>6</v>
      </c>
      <c r="B774" s="139">
        <v>13</v>
      </c>
      <c r="C774" s="355">
        <f>13/B774</f>
        <v>1</v>
      </c>
      <c r="D774" s="66">
        <v>4</v>
      </c>
      <c r="E774" s="66">
        <f t="shared" ref="E774:E793" si="228">B774*D774</f>
        <v>52</v>
      </c>
      <c r="F774" s="359">
        <f>C774/2-$E$14</f>
        <v>0.41000000000000003</v>
      </c>
      <c r="G774" s="339">
        <f>F774/25.4</f>
        <v>1.614173228346457E-2</v>
      </c>
      <c r="H774" s="140">
        <v>1.4999999999999999E-2</v>
      </c>
      <c r="I774" s="356" t="s">
        <v>6</v>
      </c>
      <c r="J774" s="107">
        <f>A!$E$72</f>
        <v>0.38399999999999984</v>
      </c>
      <c r="K774" s="339">
        <f t="shared" ref="K774:K793" si="229">J774/25.4</f>
        <v>1.5118110236220467E-2</v>
      </c>
      <c r="L774" s="365" t="str">
        <f t="shared" ref="L774:L793" si="230">IF(J774&gt;F774, "over", "under")</f>
        <v>under</v>
      </c>
      <c r="M774" s="363">
        <f t="shared" ref="M774:M793" si="231">C774/2-J774</f>
        <v>0.11600000000000016</v>
      </c>
      <c r="N774" s="139">
        <f>B774+1</f>
        <v>14</v>
      </c>
      <c r="O774" s="339">
        <f t="shared" ref="O774:O793" si="232">C774-J774</f>
        <v>0.6160000000000001</v>
      </c>
      <c r="P774" s="339">
        <f>O774/25.4</f>
        <v>2.4251968503937012E-2</v>
      </c>
      <c r="Q774" s="356" t="s">
        <v>6</v>
      </c>
      <c r="R774" s="349">
        <v>2.5000000000000001E-2</v>
      </c>
      <c r="S774" s="348">
        <f>R774*25.4</f>
        <v>0.63500000000000001</v>
      </c>
      <c r="T774" s="324" t="s">
        <v>283</v>
      </c>
      <c r="U774" s="339">
        <f>13+S776</f>
        <v>13.635</v>
      </c>
      <c r="V774" s="13">
        <f t="shared" ref="V774:V791" si="233">N774*S774+B774*J774</f>
        <v>13.881999999999998</v>
      </c>
      <c r="W774" s="369">
        <f>U774-V774</f>
        <v>-0.24699999999999811</v>
      </c>
      <c r="X774" s="13">
        <f t="shared" ref="X774:X793" si="234">S774*B774+B774*J774</f>
        <v>13.247</v>
      </c>
      <c r="Y774" s="13">
        <f>X774-13</f>
        <v>0.24699999999999989</v>
      </c>
      <c r="Z774" s="353">
        <v>0.02</v>
      </c>
      <c r="AA774" s="348">
        <f>Z774*25.4</f>
        <v>0.50800000000000001</v>
      </c>
      <c r="AB774" s="324" t="s">
        <v>283</v>
      </c>
      <c r="AC774" s="339">
        <f>13+AA776</f>
        <v>13.507999999999999</v>
      </c>
      <c r="AD774" s="13">
        <f t="shared" ref="AD774:AD791" si="235">AA774*N774+J774*B774</f>
        <v>12.103999999999999</v>
      </c>
      <c r="AE774" s="13">
        <f>AC774-AD774</f>
        <v>1.4039999999999999</v>
      </c>
      <c r="AF774" s="35">
        <f t="shared" ref="AF774:AF793" si="236">(AA774+J774)*B774</f>
        <v>11.595999999999998</v>
      </c>
      <c r="AG774" s="35">
        <f>AF774-13</f>
        <v>-1.4040000000000017</v>
      </c>
      <c r="AH774" s="13">
        <f>AA774/(AF774/B774)</f>
        <v>0.56950672645739919</v>
      </c>
      <c r="AI774" s="13">
        <f>(AA774-0.18)/(AF774/B774)</f>
        <v>0.36771300448430499</v>
      </c>
      <c r="AJ774" s="423">
        <f>AK774/25.4</f>
        <v>2.4015748031496063E-2</v>
      </c>
      <c r="AK774" s="403">
        <v>0.61</v>
      </c>
      <c r="AL774" s="324" t="s">
        <v>283</v>
      </c>
      <c r="AM774" s="339">
        <f>13+AK776</f>
        <v>13.58</v>
      </c>
      <c r="AN774" s="35">
        <f t="shared" ref="AN774:AN791" si="237">AK774*N774+J774*B774</f>
        <v>13.531999999999996</v>
      </c>
      <c r="AO774" s="13">
        <f>AM774-AN774</f>
        <v>4.8000000000003595E-2</v>
      </c>
      <c r="AP774" s="35">
        <f t="shared" ref="AP774:AP793" si="238">(AK774+J774)*B774</f>
        <v>12.921999999999997</v>
      </c>
      <c r="AQ774" s="13">
        <f t="shared" ref="AQ774:AQ793" si="239">AK774/(AP774/B774)</f>
        <v>0.61368209255533213</v>
      </c>
      <c r="AR774" s="424">
        <f t="shared" ref="AR774:AR793" si="240">(AK774-0.18)/(AP774/B774)</f>
        <v>0.43259557344064398</v>
      </c>
      <c r="AS774" s="66">
        <f>E774+D774+D792</f>
        <v>60</v>
      </c>
      <c r="AT774" s="66"/>
    </row>
    <row r="775" spans="1:46">
      <c r="A775" s="66" t="s">
        <v>164</v>
      </c>
      <c r="B775" s="139">
        <v>13</v>
      </c>
      <c r="C775" s="355">
        <f t="shared" ref="C775:C793" si="241">13/B775</f>
        <v>1</v>
      </c>
      <c r="D775" s="66">
        <v>2</v>
      </c>
      <c r="E775" s="66">
        <f t="shared" si="228"/>
        <v>26</v>
      </c>
      <c r="F775" s="359">
        <f t="shared" ref="F775:F793" si="242">C775/2-$E$14</f>
        <v>0.41000000000000003</v>
      </c>
      <c r="G775" s="339">
        <f t="shared" ref="G775:G793" si="243">F775/25.4</f>
        <v>1.614173228346457E-2</v>
      </c>
      <c r="H775" s="140">
        <v>1.4999999999999999E-2</v>
      </c>
      <c r="I775" s="356" t="s">
        <v>164</v>
      </c>
      <c r="J775" s="107">
        <f>As!$E$47</f>
        <v>0.38482758620689661</v>
      </c>
      <c r="K775" s="339">
        <f t="shared" si="229"/>
        <v>1.5150692370350261E-2</v>
      </c>
      <c r="L775" s="365" t="str">
        <f t="shared" si="230"/>
        <v>under</v>
      </c>
      <c r="M775" s="363">
        <f t="shared" si="231"/>
        <v>0.11517241379310339</v>
      </c>
      <c r="N775" s="139">
        <f t="shared" ref="N775:N791" si="244">B775+1</f>
        <v>14</v>
      </c>
      <c r="O775" s="339">
        <f t="shared" si="232"/>
        <v>0.61517241379310339</v>
      </c>
      <c r="P775" s="339">
        <f t="shared" ref="P775:P793" si="245">O775/25.4</f>
        <v>2.4219386369807222E-2</v>
      </c>
      <c r="Q775" s="356" t="s">
        <v>164</v>
      </c>
      <c r="R775" s="349">
        <v>2.5000000000000001E-2</v>
      </c>
      <c r="S775" s="348">
        <f t="shared" ref="S775:S793" si="246">R775*25.4</f>
        <v>0.63500000000000001</v>
      </c>
      <c r="T775" s="324" t="s">
        <v>284</v>
      </c>
      <c r="U775" s="339">
        <f>13+S777</f>
        <v>13.507999999999999</v>
      </c>
      <c r="V775" s="13">
        <f t="shared" si="233"/>
        <v>13.892758620689657</v>
      </c>
      <c r="W775" s="369">
        <f t="shared" ref="W775:W793" si="247">U775-V775</f>
        <v>-0.3847586206896576</v>
      </c>
      <c r="X775" s="13">
        <f t="shared" si="234"/>
        <v>13.257758620689657</v>
      </c>
      <c r="Y775" s="13">
        <f t="shared" ref="Y775:Y793" si="248">X775-13</f>
        <v>0.25775862068965694</v>
      </c>
      <c r="Z775" s="353">
        <v>0.02</v>
      </c>
      <c r="AA775" s="348">
        <f t="shared" ref="AA775:AA793" si="249">Z775*25.4</f>
        <v>0.50800000000000001</v>
      </c>
      <c r="AB775" s="324" t="s">
        <v>284</v>
      </c>
      <c r="AC775" s="339">
        <f>13+AA777</f>
        <v>13.507999999999999</v>
      </c>
      <c r="AD775" s="13">
        <f t="shared" si="235"/>
        <v>12.114758620689656</v>
      </c>
      <c r="AE775" s="13">
        <f t="shared" ref="AE775:AE793" si="250">AC775-AD775</f>
        <v>1.3932413793103429</v>
      </c>
      <c r="AF775" s="35">
        <f t="shared" si="236"/>
        <v>11.606758620689655</v>
      </c>
      <c r="AG775" s="35">
        <f t="shared" ref="AG775:AG793" si="251">AF775-13</f>
        <v>-1.3932413793103446</v>
      </c>
      <c r="AH775" s="13">
        <f t="shared" ref="AH775:AH793" si="252">AA775/(AF775/B775)</f>
        <v>0.56897883516143977</v>
      </c>
      <c r="AI775" s="13">
        <f t="shared" ref="AI775:AI793" si="253">(AA775-0.18)/(AF775/B775)</f>
        <v>0.36737216128533912</v>
      </c>
      <c r="AJ775" s="423">
        <f t="shared" ref="AJ775:AJ793" si="254">AK775/25.4</f>
        <v>2.4015748031496063E-2</v>
      </c>
      <c r="AK775" s="403">
        <v>0.61</v>
      </c>
      <c r="AL775" s="324" t="s">
        <v>284</v>
      </c>
      <c r="AM775" s="339">
        <f>13+AK777</f>
        <v>13.57</v>
      </c>
      <c r="AN775" s="35">
        <f t="shared" si="237"/>
        <v>13.542758620689655</v>
      </c>
      <c r="AO775" s="13">
        <f t="shared" ref="AO775:AO793" si="255">AM775-AN775</f>
        <v>2.7241379310344982E-2</v>
      </c>
      <c r="AP775" s="35">
        <f t="shared" si="238"/>
        <v>12.932758620689656</v>
      </c>
      <c r="AQ775" s="13">
        <f t="shared" si="239"/>
        <v>0.61317157712305026</v>
      </c>
      <c r="AR775" s="424">
        <f t="shared" si="240"/>
        <v>0.43223570190641247</v>
      </c>
      <c r="AS775" s="66">
        <f>E775+D775+D793</f>
        <v>29</v>
      </c>
      <c r="AT775" s="66"/>
    </row>
    <row r="776" spans="1:46">
      <c r="A776" s="66" t="s">
        <v>9</v>
      </c>
      <c r="B776" s="139">
        <v>12</v>
      </c>
      <c r="C776" s="355">
        <f t="shared" si="241"/>
        <v>1.0833333333333333</v>
      </c>
      <c r="D776" s="66">
        <v>4</v>
      </c>
      <c r="E776" s="66">
        <f t="shared" si="228"/>
        <v>48</v>
      </c>
      <c r="F776" s="359">
        <f t="shared" si="242"/>
        <v>0.45166666666666666</v>
      </c>
      <c r="G776" s="339">
        <f t="shared" si="243"/>
        <v>1.778215223097113E-2</v>
      </c>
      <c r="H776" s="140">
        <v>0.02</v>
      </c>
      <c r="I776" s="356" t="s">
        <v>9</v>
      </c>
      <c r="J776" s="107">
        <f>B!$E$172</f>
        <v>0.50045454545454471</v>
      </c>
      <c r="K776" s="339">
        <f t="shared" si="229"/>
        <v>1.9702934860415147E-2</v>
      </c>
      <c r="L776" s="365" t="str">
        <f t="shared" si="230"/>
        <v>over</v>
      </c>
      <c r="M776" s="363">
        <f t="shared" si="231"/>
        <v>4.1212121212121922E-2</v>
      </c>
      <c r="N776" s="139">
        <f t="shared" si="244"/>
        <v>13</v>
      </c>
      <c r="O776" s="339">
        <f t="shared" si="232"/>
        <v>0.58287878787878855</v>
      </c>
      <c r="P776" s="339">
        <f t="shared" si="245"/>
        <v>2.2947983774755456E-2</v>
      </c>
      <c r="Q776" s="356" t="s">
        <v>9</v>
      </c>
      <c r="R776" s="349">
        <v>2.5000000000000001E-2</v>
      </c>
      <c r="S776" s="348">
        <f t="shared" si="246"/>
        <v>0.63500000000000001</v>
      </c>
      <c r="T776" s="324" t="s">
        <v>286</v>
      </c>
      <c r="U776" s="339">
        <f>13+S778</f>
        <v>13.635</v>
      </c>
      <c r="V776" s="13">
        <f t="shared" si="233"/>
        <v>14.260454545454538</v>
      </c>
      <c r="W776" s="369">
        <f t="shared" si="247"/>
        <v>-0.62545454545453794</v>
      </c>
      <c r="X776" s="13">
        <f t="shared" si="234"/>
        <v>13.625454545454538</v>
      </c>
      <c r="Y776" s="13">
        <f t="shared" si="248"/>
        <v>0.62545454545453794</v>
      </c>
      <c r="Z776" s="353">
        <v>0.02</v>
      </c>
      <c r="AA776" s="348">
        <f t="shared" si="249"/>
        <v>0.50800000000000001</v>
      </c>
      <c r="AB776" s="324" t="s">
        <v>286</v>
      </c>
      <c r="AC776" s="339">
        <f>13+AA778</f>
        <v>13.635</v>
      </c>
      <c r="AD776" s="13">
        <f t="shared" si="235"/>
        <v>12.609454545454536</v>
      </c>
      <c r="AE776" s="13">
        <f t="shared" si="250"/>
        <v>1.0255454545454636</v>
      </c>
      <c r="AF776" s="35">
        <f t="shared" si="236"/>
        <v>12.101454545454535</v>
      </c>
      <c r="AG776" s="35">
        <f t="shared" si="251"/>
        <v>-0.89854545454546475</v>
      </c>
      <c r="AH776" s="13">
        <f t="shared" si="252"/>
        <v>0.50374109798972366</v>
      </c>
      <c r="AI776" s="13">
        <f t="shared" si="253"/>
        <v>0.32525015775714444</v>
      </c>
      <c r="AJ776" s="423">
        <f t="shared" si="254"/>
        <v>2.2834645669291338E-2</v>
      </c>
      <c r="AK776" s="403">
        <v>0.57999999999999996</v>
      </c>
      <c r="AL776" s="324" t="s">
        <v>286</v>
      </c>
      <c r="AM776" s="339">
        <f>13+AK778</f>
        <v>13.68</v>
      </c>
      <c r="AN776" s="35">
        <f t="shared" si="237"/>
        <v>13.545454545454536</v>
      </c>
      <c r="AO776" s="13">
        <f t="shared" si="255"/>
        <v>0.13454545454546363</v>
      </c>
      <c r="AP776" s="35">
        <f t="shared" si="238"/>
        <v>12.965454545454536</v>
      </c>
      <c r="AQ776" s="13">
        <f t="shared" si="239"/>
        <v>0.53681110643668528</v>
      </c>
      <c r="AR776" s="424">
        <f t="shared" si="240"/>
        <v>0.37021455616323118</v>
      </c>
      <c r="AS776" s="66">
        <f t="shared" ref="AS776:AS784" si="256">E776+D776</f>
        <v>52</v>
      </c>
      <c r="AT776" s="66"/>
    </row>
    <row r="777" spans="1:46">
      <c r="A777" s="66" t="s">
        <v>165</v>
      </c>
      <c r="B777" s="139">
        <v>12</v>
      </c>
      <c r="C777" s="355">
        <f t="shared" si="241"/>
        <v>1.0833333333333333</v>
      </c>
      <c r="D777" s="66">
        <v>2</v>
      </c>
      <c r="E777" s="66">
        <f t="shared" si="228"/>
        <v>24</v>
      </c>
      <c r="F777" s="359">
        <f t="shared" si="242"/>
        <v>0.45166666666666666</v>
      </c>
      <c r="G777" s="339">
        <f t="shared" si="243"/>
        <v>1.778215223097113E-2</v>
      </c>
      <c r="H777" s="140">
        <v>0.02</v>
      </c>
      <c r="I777" s="356" t="s">
        <v>165</v>
      </c>
      <c r="J777" s="107">
        <f>Bs!$E$55</f>
        <v>0.51437837837837885</v>
      </c>
      <c r="K777" s="339">
        <f t="shared" si="229"/>
        <v>2.0251117258991296E-2</v>
      </c>
      <c r="L777" s="365" t="str">
        <f t="shared" si="230"/>
        <v>over</v>
      </c>
      <c r="M777" s="363">
        <f t="shared" si="231"/>
        <v>2.7288288288287776E-2</v>
      </c>
      <c r="N777" s="139">
        <f t="shared" si="244"/>
        <v>13</v>
      </c>
      <c r="O777" s="339">
        <f t="shared" si="232"/>
        <v>0.56895495495495441</v>
      </c>
      <c r="P777" s="339">
        <f t="shared" si="245"/>
        <v>2.2399801376179307E-2</v>
      </c>
      <c r="Q777" s="356" t="s">
        <v>165</v>
      </c>
      <c r="R777" s="349">
        <v>0.02</v>
      </c>
      <c r="S777" s="348">
        <f t="shared" si="246"/>
        <v>0.50800000000000001</v>
      </c>
      <c r="T777" s="324" t="s">
        <v>285</v>
      </c>
      <c r="U777" s="339">
        <f>13+S779</f>
        <v>13.635</v>
      </c>
      <c r="V777" s="13">
        <f t="shared" si="233"/>
        <v>12.776540540540546</v>
      </c>
      <c r="W777" s="369">
        <f t="shared" si="247"/>
        <v>0.85845945945945346</v>
      </c>
      <c r="X777" s="13">
        <f t="shared" si="234"/>
        <v>12.268540540540545</v>
      </c>
      <c r="Y777" s="13">
        <f t="shared" si="248"/>
        <v>-0.73145945945945456</v>
      </c>
      <c r="Z777" s="353">
        <v>0.02</v>
      </c>
      <c r="AA777" s="348">
        <f t="shared" si="249"/>
        <v>0.50800000000000001</v>
      </c>
      <c r="AB777" s="324" t="s">
        <v>285</v>
      </c>
      <c r="AC777" s="339">
        <f>13+AA779</f>
        <v>13.635</v>
      </c>
      <c r="AD777" s="13">
        <f t="shared" si="235"/>
        <v>12.776540540540546</v>
      </c>
      <c r="AE777" s="13">
        <f t="shared" si="250"/>
        <v>0.85845945945945346</v>
      </c>
      <c r="AF777" s="35">
        <f t="shared" si="236"/>
        <v>12.268540540540545</v>
      </c>
      <c r="AG777" s="35">
        <f t="shared" si="251"/>
        <v>-0.73145945945945456</v>
      </c>
      <c r="AH777" s="13">
        <f t="shared" si="252"/>
        <v>0.49688061753198665</v>
      </c>
      <c r="AI777" s="13">
        <f t="shared" si="253"/>
        <v>0.3208205562017552</v>
      </c>
      <c r="AJ777" s="423">
        <f t="shared" si="254"/>
        <v>2.2440944881889763E-2</v>
      </c>
      <c r="AK777" s="403">
        <v>0.56999999999999995</v>
      </c>
      <c r="AL777" s="324" t="s">
        <v>285</v>
      </c>
      <c r="AM777" s="339">
        <f>13+AK779</f>
        <v>13.67</v>
      </c>
      <c r="AN777" s="35">
        <f t="shared" si="237"/>
        <v>13.582540540540545</v>
      </c>
      <c r="AO777" s="13">
        <f t="shared" si="255"/>
        <v>8.7459459459454436E-2</v>
      </c>
      <c r="AP777" s="35">
        <f t="shared" si="238"/>
        <v>13.012540540540547</v>
      </c>
      <c r="AQ777" s="13">
        <f t="shared" si="239"/>
        <v>0.52564677732914578</v>
      </c>
      <c r="AR777" s="424">
        <f t="shared" si="240"/>
        <v>0.35965305817257343</v>
      </c>
      <c r="AS777" s="66">
        <f t="shared" si="256"/>
        <v>26</v>
      </c>
      <c r="AT777" s="66"/>
    </row>
    <row r="778" spans="1:46">
      <c r="A778" s="66" t="s">
        <v>11</v>
      </c>
      <c r="B778" s="139">
        <v>11</v>
      </c>
      <c r="C778" s="355">
        <f t="shared" si="241"/>
        <v>1.1818181818181819</v>
      </c>
      <c r="D778" s="66">
        <v>4</v>
      </c>
      <c r="E778" s="66">
        <f t="shared" si="228"/>
        <v>44</v>
      </c>
      <c r="F778" s="359">
        <f t="shared" si="242"/>
        <v>0.50090909090909097</v>
      </c>
      <c r="G778" s="339">
        <f t="shared" si="243"/>
        <v>1.9720830350751613E-2</v>
      </c>
      <c r="H778" s="140">
        <v>0.02</v>
      </c>
      <c r="I778" s="356" t="s">
        <v>9</v>
      </c>
      <c r="J778" s="107">
        <f>B!$E$172</f>
        <v>0.50045454545454471</v>
      </c>
      <c r="K778" s="339">
        <f t="shared" si="229"/>
        <v>1.9702934860415147E-2</v>
      </c>
      <c r="L778" s="365" t="str">
        <f t="shared" si="230"/>
        <v>under</v>
      </c>
      <c r="M778" s="363">
        <f t="shared" si="231"/>
        <v>9.0454545454546231E-2</v>
      </c>
      <c r="N778" s="139">
        <f t="shared" si="244"/>
        <v>12</v>
      </c>
      <c r="O778" s="339">
        <f t="shared" si="232"/>
        <v>0.68136363636363717</v>
      </c>
      <c r="P778" s="339">
        <f t="shared" si="245"/>
        <v>2.6825340014316426E-2</v>
      </c>
      <c r="Q778" s="356" t="s">
        <v>11</v>
      </c>
      <c r="R778" s="349">
        <v>2.5000000000000001E-2</v>
      </c>
      <c r="S778" s="348">
        <f t="shared" si="246"/>
        <v>0.63500000000000001</v>
      </c>
      <c r="T778" s="324" t="s">
        <v>287</v>
      </c>
      <c r="U778" s="339">
        <f>13+S780</f>
        <v>13.812799999999999</v>
      </c>
      <c r="V778" s="13">
        <f t="shared" si="233"/>
        <v>13.124999999999993</v>
      </c>
      <c r="W778" s="369">
        <f t="shared" si="247"/>
        <v>0.68780000000000641</v>
      </c>
      <c r="X778" s="13">
        <f t="shared" si="234"/>
        <v>12.489999999999991</v>
      </c>
      <c r="Y778" s="13">
        <f t="shared" si="248"/>
        <v>-0.51000000000000867</v>
      </c>
      <c r="Z778" s="353">
        <v>2.5000000000000001E-2</v>
      </c>
      <c r="AA778" s="348">
        <f t="shared" si="249"/>
        <v>0.63500000000000001</v>
      </c>
      <c r="AB778" s="324" t="s">
        <v>287</v>
      </c>
      <c r="AC778" s="339">
        <f>13+AA780</f>
        <v>13.635</v>
      </c>
      <c r="AD778" s="13">
        <f t="shared" si="235"/>
        <v>13.124999999999993</v>
      </c>
      <c r="AE778" s="13">
        <f t="shared" si="250"/>
        <v>0.51000000000000689</v>
      </c>
      <c r="AF778" s="35">
        <f t="shared" si="236"/>
        <v>12.489999999999993</v>
      </c>
      <c r="AG778" s="35">
        <f t="shared" si="251"/>
        <v>-0.51000000000000689</v>
      </c>
      <c r="AH778" s="13">
        <f t="shared" si="252"/>
        <v>0.559247397918335</v>
      </c>
      <c r="AI778" s="13">
        <f t="shared" si="253"/>
        <v>0.40072057646116915</v>
      </c>
      <c r="AJ778" s="423">
        <f t="shared" si="254"/>
        <v>2.677165354330709E-2</v>
      </c>
      <c r="AK778" s="403">
        <v>0.68</v>
      </c>
      <c r="AL778" s="324" t="s">
        <v>287</v>
      </c>
      <c r="AM778" s="339">
        <f>13+AK780</f>
        <v>13.8</v>
      </c>
      <c r="AN778" s="35">
        <f t="shared" si="237"/>
        <v>13.664999999999992</v>
      </c>
      <c r="AO778" s="13">
        <f t="shared" si="255"/>
        <v>0.13500000000000867</v>
      </c>
      <c r="AP778" s="35">
        <f t="shared" si="238"/>
        <v>12.984999999999992</v>
      </c>
      <c r="AQ778" s="13">
        <f t="shared" si="239"/>
        <v>0.57604928763958452</v>
      </c>
      <c r="AR778" s="424">
        <f t="shared" si="240"/>
        <v>0.42356565267616508</v>
      </c>
      <c r="AS778" s="66">
        <f t="shared" si="256"/>
        <v>48</v>
      </c>
      <c r="AT778" s="66"/>
    </row>
    <row r="779" spans="1:46">
      <c r="A779" s="66" t="s">
        <v>226</v>
      </c>
      <c r="B779" s="139">
        <v>11</v>
      </c>
      <c r="C779" s="355">
        <f t="shared" si="241"/>
        <v>1.1818181818181819</v>
      </c>
      <c r="D779" s="66">
        <v>1</v>
      </c>
      <c r="E779" s="66">
        <f t="shared" si="228"/>
        <v>11</v>
      </c>
      <c r="F779" s="359">
        <f t="shared" si="242"/>
        <v>0.50090909090909097</v>
      </c>
      <c r="G779" s="339">
        <f t="shared" si="243"/>
        <v>1.9720830350751613E-2</v>
      </c>
      <c r="H779" s="140">
        <v>0.02</v>
      </c>
      <c r="I779" s="356" t="s">
        <v>165</v>
      </c>
      <c r="J779" s="107">
        <f>Bs!$E$55</f>
        <v>0.51437837837837885</v>
      </c>
      <c r="K779" s="339">
        <f t="shared" si="229"/>
        <v>2.0251117258991296E-2</v>
      </c>
      <c r="L779" s="365" t="str">
        <f t="shared" si="230"/>
        <v>over</v>
      </c>
      <c r="M779" s="363">
        <f t="shared" si="231"/>
        <v>7.6530712530712086E-2</v>
      </c>
      <c r="N779" s="139">
        <f t="shared" si="244"/>
        <v>12</v>
      </c>
      <c r="O779" s="339">
        <f t="shared" si="232"/>
        <v>0.66743980343980303</v>
      </c>
      <c r="P779" s="339">
        <f t="shared" si="245"/>
        <v>2.6277157615740277E-2</v>
      </c>
      <c r="Q779" s="356" t="s">
        <v>226</v>
      </c>
      <c r="R779" s="349">
        <v>2.5000000000000001E-2</v>
      </c>
      <c r="S779" s="348">
        <f t="shared" si="246"/>
        <v>0.63500000000000001</v>
      </c>
      <c r="T779" s="324" t="s">
        <v>287</v>
      </c>
      <c r="U779" s="339">
        <f>13+S780</f>
        <v>13.812799999999999</v>
      </c>
      <c r="V779" s="13">
        <f t="shared" si="233"/>
        <v>13.278162162162168</v>
      </c>
      <c r="W779" s="369">
        <f t="shared" si="247"/>
        <v>0.53463783783783114</v>
      </c>
      <c r="X779" s="13">
        <f t="shared" si="234"/>
        <v>12.643162162162167</v>
      </c>
      <c r="Y779" s="13">
        <f t="shared" si="248"/>
        <v>-0.3568378378378334</v>
      </c>
      <c r="Z779" s="353">
        <v>2.5000000000000001E-2</v>
      </c>
      <c r="AA779" s="348">
        <f t="shared" si="249"/>
        <v>0.63500000000000001</v>
      </c>
      <c r="AB779" s="324" t="s">
        <v>287</v>
      </c>
      <c r="AC779" s="339">
        <f>13+AA780</f>
        <v>13.635</v>
      </c>
      <c r="AD779" s="13">
        <f t="shared" si="235"/>
        <v>13.278162162162168</v>
      </c>
      <c r="AE779" s="13">
        <f t="shared" si="250"/>
        <v>0.35683783783783163</v>
      </c>
      <c r="AF779" s="35">
        <f t="shared" si="236"/>
        <v>12.643162162162167</v>
      </c>
      <c r="AG779" s="35">
        <f t="shared" si="251"/>
        <v>-0.3568378378378334</v>
      </c>
      <c r="AH779" s="13">
        <f t="shared" si="252"/>
        <v>0.55247254685258751</v>
      </c>
      <c r="AI779" s="13">
        <f t="shared" si="253"/>
        <v>0.39586615561878319</v>
      </c>
      <c r="AJ779" s="423">
        <f t="shared" si="254"/>
        <v>2.6377952755905515E-2</v>
      </c>
      <c r="AK779" s="403">
        <v>0.67</v>
      </c>
      <c r="AL779" s="324" t="s">
        <v>287</v>
      </c>
      <c r="AM779" s="339">
        <f>13+AK780</f>
        <v>13.8</v>
      </c>
      <c r="AN779" s="35">
        <f t="shared" si="237"/>
        <v>13.698162162162168</v>
      </c>
      <c r="AO779" s="13">
        <f t="shared" si="255"/>
        <v>0.10183783783783262</v>
      </c>
      <c r="AP779" s="35">
        <f t="shared" si="238"/>
        <v>13.028162162162168</v>
      </c>
      <c r="AQ779" s="13">
        <f t="shared" si="239"/>
        <v>0.56569759481538928</v>
      </c>
      <c r="AR779" s="424">
        <f t="shared" si="240"/>
        <v>0.41371913650677722</v>
      </c>
      <c r="AS779" s="66">
        <f t="shared" si="256"/>
        <v>12</v>
      </c>
      <c r="AT779" s="66"/>
    </row>
    <row r="780" spans="1:46">
      <c r="A780" s="11" t="s">
        <v>13</v>
      </c>
      <c r="B780" s="5">
        <v>10</v>
      </c>
      <c r="C780" s="355">
        <f t="shared" si="241"/>
        <v>1.3</v>
      </c>
      <c r="D780" s="11">
        <v>5</v>
      </c>
      <c r="E780" s="11">
        <f t="shared" si="228"/>
        <v>50</v>
      </c>
      <c r="F780" s="360">
        <f t="shared" si="242"/>
        <v>0.56000000000000005</v>
      </c>
      <c r="G780" s="315">
        <f t="shared" si="243"/>
        <v>2.2047244094488192E-2</v>
      </c>
      <c r="H780" s="4">
        <v>0.02</v>
      </c>
      <c r="I780" s="311" t="s">
        <v>9</v>
      </c>
      <c r="J780" s="107">
        <f>B!$E$172</f>
        <v>0.50045454545454471</v>
      </c>
      <c r="K780" s="315">
        <f t="shared" si="229"/>
        <v>1.9702934860415147E-2</v>
      </c>
      <c r="L780" s="365" t="str">
        <f t="shared" si="230"/>
        <v>under</v>
      </c>
      <c r="M780" s="363">
        <f t="shared" si="231"/>
        <v>0.14954545454545531</v>
      </c>
      <c r="N780" s="139">
        <f t="shared" si="244"/>
        <v>11</v>
      </c>
      <c r="O780" s="315">
        <f t="shared" si="232"/>
        <v>0.79954545454545534</v>
      </c>
      <c r="P780" s="315">
        <f t="shared" si="245"/>
        <v>3.1478167501789583E-2</v>
      </c>
      <c r="Q780" s="311" t="s">
        <v>13</v>
      </c>
      <c r="R780" s="353">
        <v>3.2000000000000001E-2</v>
      </c>
      <c r="S780" s="348">
        <f t="shared" si="246"/>
        <v>0.81279999999999997</v>
      </c>
      <c r="T780" s="324" t="s">
        <v>288</v>
      </c>
      <c r="U780" s="339">
        <f>13+S781</f>
        <v>13.812799999999999</v>
      </c>
      <c r="V780" s="13">
        <f t="shared" si="233"/>
        <v>13.945345454545446</v>
      </c>
      <c r="W780" s="369">
        <f t="shared" si="247"/>
        <v>-0.13254545454544697</v>
      </c>
      <c r="X780" s="13">
        <f t="shared" si="234"/>
        <v>13.132545454545447</v>
      </c>
      <c r="Y780" s="13">
        <f t="shared" si="248"/>
        <v>0.13254545454544697</v>
      </c>
      <c r="Z780" s="353">
        <v>2.5000000000000001E-2</v>
      </c>
      <c r="AA780" s="348">
        <f t="shared" si="249"/>
        <v>0.63500000000000001</v>
      </c>
      <c r="AB780" s="324" t="s">
        <v>288</v>
      </c>
      <c r="AC780" s="339">
        <f>13+AA781</f>
        <v>13.635</v>
      </c>
      <c r="AD780" s="13">
        <f t="shared" si="235"/>
        <v>11.989545454545446</v>
      </c>
      <c r="AE780" s="13">
        <f t="shared" si="250"/>
        <v>1.6454545454545535</v>
      </c>
      <c r="AF780" s="35">
        <f t="shared" si="236"/>
        <v>11.354545454545448</v>
      </c>
      <c r="AG780" s="35">
        <f t="shared" si="251"/>
        <v>-1.6454545454545517</v>
      </c>
      <c r="AH780" s="13">
        <f t="shared" si="252"/>
        <v>0.559247397918335</v>
      </c>
      <c r="AI780" s="13">
        <f t="shared" si="253"/>
        <v>0.40072057646116915</v>
      </c>
      <c r="AJ780" s="423">
        <f t="shared" si="254"/>
        <v>3.1496062992125991E-2</v>
      </c>
      <c r="AK780" s="403">
        <v>0.8</v>
      </c>
      <c r="AL780" s="324" t="s">
        <v>288</v>
      </c>
      <c r="AM780" s="339">
        <f>13+AK781</f>
        <v>13.81</v>
      </c>
      <c r="AN780" s="35">
        <f t="shared" si="237"/>
        <v>13.804545454545448</v>
      </c>
      <c r="AO780" s="13">
        <f t="shared" si="255"/>
        <v>5.4545454545529282E-3</v>
      </c>
      <c r="AP780" s="35">
        <f t="shared" si="238"/>
        <v>13.004545454545449</v>
      </c>
      <c r="AQ780" s="13">
        <f t="shared" si="239"/>
        <v>0.61516952114645262</v>
      </c>
      <c r="AR780" s="424">
        <f t="shared" si="240"/>
        <v>0.47675637888850081</v>
      </c>
      <c r="AS780" s="66">
        <f t="shared" si="256"/>
        <v>55</v>
      </c>
      <c r="AT780" s="11"/>
    </row>
    <row r="781" spans="1:46">
      <c r="A781" s="11" t="s">
        <v>15</v>
      </c>
      <c r="B781" s="5">
        <v>9</v>
      </c>
      <c r="C781" s="355">
        <f t="shared" si="241"/>
        <v>1.4444444444444444</v>
      </c>
      <c r="D781" s="11">
        <v>5</v>
      </c>
      <c r="E781" s="11">
        <f t="shared" si="228"/>
        <v>45</v>
      </c>
      <c r="F781" s="360">
        <f t="shared" si="242"/>
        <v>0.63222222222222224</v>
      </c>
      <c r="G781" s="315">
        <f t="shared" si="243"/>
        <v>2.4890638670166231E-2</v>
      </c>
      <c r="H781" s="4">
        <v>2.5000000000000001E-2</v>
      </c>
      <c r="I781" s="311" t="s">
        <v>11</v>
      </c>
      <c r="J781" s="13">
        <f>'C'!$E$48</f>
        <v>0.6309444444444442</v>
      </c>
      <c r="K781" s="315">
        <f t="shared" si="229"/>
        <v>2.4840332458442686E-2</v>
      </c>
      <c r="L781" s="365" t="str">
        <f t="shared" si="230"/>
        <v>under</v>
      </c>
      <c r="M781" s="363">
        <f t="shared" si="231"/>
        <v>9.1277777777778013E-2</v>
      </c>
      <c r="N781" s="139">
        <f t="shared" si="244"/>
        <v>10</v>
      </c>
      <c r="O781" s="315">
        <f t="shared" si="232"/>
        <v>0.81350000000000022</v>
      </c>
      <c r="P781" s="315">
        <f t="shared" si="245"/>
        <v>3.2027559055118122E-2</v>
      </c>
      <c r="Q781" s="311" t="s">
        <v>15</v>
      </c>
      <c r="R781" s="349">
        <v>3.2000000000000001E-2</v>
      </c>
      <c r="S781" s="348">
        <f t="shared" si="246"/>
        <v>0.81279999999999997</v>
      </c>
      <c r="T781" s="324" t="s">
        <v>289</v>
      </c>
      <c r="U781" s="339">
        <f>13+S782</f>
        <v>13.812799999999999</v>
      </c>
      <c r="V781" s="13">
        <f t="shared" si="233"/>
        <v>13.806499999999998</v>
      </c>
      <c r="W781" s="369">
        <f t="shared" si="247"/>
        <v>6.3000000000013046E-3</v>
      </c>
      <c r="X781" s="13">
        <f t="shared" si="234"/>
        <v>12.993699999999997</v>
      </c>
      <c r="Y781" s="13">
        <f t="shared" si="248"/>
        <v>-6.3000000000030809E-3</v>
      </c>
      <c r="Z781" s="353">
        <v>2.5000000000000001E-2</v>
      </c>
      <c r="AA781" s="348">
        <f t="shared" si="249"/>
        <v>0.63500000000000001</v>
      </c>
      <c r="AB781" s="324" t="s">
        <v>289</v>
      </c>
      <c r="AC781" s="339">
        <f>13+AA782</f>
        <v>13.812799999999999</v>
      </c>
      <c r="AD781" s="13">
        <f t="shared" si="235"/>
        <v>12.028499999999998</v>
      </c>
      <c r="AE781" s="13">
        <f t="shared" si="250"/>
        <v>1.7843000000000018</v>
      </c>
      <c r="AF781" s="35">
        <f t="shared" si="236"/>
        <v>11.393499999999996</v>
      </c>
      <c r="AG781" s="35">
        <f t="shared" si="251"/>
        <v>-1.606500000000004</v>
      </c>
      <c r="AH781" s="13">
        <f t="shared" si="252"/>
        <v>0.50160179049458042</v>
      </c>
      <c r="AI781" s="13">
        <f t="shared" si="253"/>
        <v>0.35941545618115606</v>
      </c>
      <c r="AJ781" s="423">
        <f t="shared" si="254"/>
        <v>3.1889763779527562E-2</v>
      </c>
      <c r="AK781" s="403">
        <v>0.81</v>
      </c>
      <c r="AL781" s="324" t="s">
        <v>289</v>
      </c>
      <c r="AM781" s="339">
        <f>13+AK782</f>
        <v>13.86</v>
      </c>
      <c r="AN781" s="35">
        <f t="shared" si="237"/>
        <v>13.778499999999999</v>
      </c>
      <c r="AO781" s="13">
        <f t="shared" si="255"/>
        <v>8.1500000000000128E-2</v>
      </c>
      <c r="AP781" s="35">
        <f t="shared" si="238"/>
        <v>12.968499999999999</v>
      </c>
      <c r="AQ781" s="13">
        <f t="shared" si="239"/>
        <v>0.56213131819408579</v>
      </c>
      <c r="AR781" s="424">
        <f t="shared" si="240"/>
        <v>0.43721324748428897</v>
      </c>
      <c r="AS781" s="66">
        <f t="shared" si="256"/>
        <v>50</v>
      </c>
      <c r="AT781" s="11"/>
    </row>
    <row r="782" spans="1:46">
      <c r="A782" s="11" t="s">
        <v>17</v>
      </c>
      <c r="B782" s="5">
        <v>8</v>
      </c>
      <c r="C782" s="355">
        <f t="shared" si="241"/>
        <v>1.625</v>
      </c>
      <c r="D782" s="11">
        <v>5</v>
      </c>
      <c r="E782" s="11">
        <f t="shared" si="228"/>
        <v>40</v>
      </c>
      <c r="F782" s="360">
        <f t="shared" si="242"/>
        <v>0.72250000000000003</v>
      </c>
      <c r="G782" s="315">
        <f t="shared" si="243"/>
        <v>2.8444881889763782E-2</v>
      </c>
      <c r="H782" s="4">
        <v>0.03</v>
      </c>
      <c r="I782" s="311" t="s">
        <v>13</v>
      </c>
      <c r="J782" s="13">
        <f>D!$E$60</f>
        <v>0.76773809523809533</v>
      </c>
      <c r="K782" s="315">
        <f t="shared" si="229"/>
        <v>3.0225909261342339E-2</v>
      </c>
      <c r="L782" s="365" t="str">
        <f t="shared" si="230"/>
        <v>over</v>
      </c>
      <c r="M782" s="363">
        <f t="shared" si="231"/>
        <v>4.4761904761904669E-2</v>
      </c>
      <c r="N782" s="139">
        <f t="shared" si="244"/>
        <v>9</v>
      </c>
      <c r="O782" s="315">
        <f t="shared" si="232"/>
        <v>0.85726190476190467</v>
      </c>
      <c r="P782" s="315">
        <f t="shared" si="245"/>
        <v>3.3750468691413571E-2</v>
      </c>
      <c r="Q782" s="311" t="s">
        <v>17</v>
      </c>
      <c r="R782" s="349">
        <v>3.2000000000000001E-2</v>
      </c>
      <c r="S782" s="348">
        <f t="shared" si="246"/>
        <v>0.81279999999999997</v>
      </c>
      <c r="T782" s="324" t="s">
        <v>292</v>
      </c>
      <c r="U782" s="339">
        <f>13+MIN(S783,S784)</f>
        <v>14.016</v>
      </c>
      <c r="V782" s="13">
        <f t="shared" si="233"/>
        <v>13.457104761904763</v>
      </c>
      <c r="W782" s="369">
        <f t="shared" si="247"/>
        <v>0.55889523809523745</v>
      </c>
      <c r="X782" s="13">
        <f t="shared" si="234"/>
        <v>12.644304761904763</v>
      </c>
      <c r="Y782" s="13">
        <f t="shared" si="248"/>
        <v>-0.35569523809523673</v>
      </c>
      <c r="Z782" s="353">
        <v>3.2000000000000001E-2</v>
      </c>
      <c r="AA782" s="348">
        <f t="shared" si="249"/>
        <v>0.81279999999999997</v>
      </c>
      <c r="AB782" s="324" t="s">
        <v>292</v>
      </c>
      <c r="AC782" s="339">
        <f>13+MIN(AA783,AA784)</f>
        <v>13.812799999999999</v>
      </c>
      <c r="AD782" s="13">
        <f t="shared" si="235"/>
        <v>13.457104761904763</v>
      </c>
      <c r="AE782" s="13">
        <f t="shared" si="250"/>
        <v>0.35569523809523673</v>
      </c>
      <c r="AF782" s="35">
        <f t="shared" si="236"/>
        <v>12.644304761904763</v>
      </c>
      <c r="AG782" s="35">
        <f t="shared" si="251"/>
        <v>-0.35569523809523673</v>
      </c>
      <c r="AH782" s="13">
        <f t="shared" si="252"/>
        <v>0.51425524158439107</v>
      </c>
      <c r="AI782" s="13">
        <f t="shared" si="253"/>
        <v>0.40036997646973754</v>
      </c>
      <c r="AJ782" s="423">
        <f t="shared" si="254"/>
        <v>3.3858267716535433E-2</v>
      </c>
      <c r="AK782" s="403">
        <v>0.86</v>
      </c>
      <c r="AL782" s="324" t="s">
        <v>292</v>
      </c>
      <c r="AM782" s="339">
        <f>13+MIN(AK783,AK784)</f>
        <v>13.96</v>
      </c>
      <c r="AN782" s="35">
        <f t="shared" si="237"/>
        <v>13.881904761904764</v>
      </c>
      <c r="AO782" s="13">
        <f t="shared" si="255"/>
        <v>7.8095238095237107E-2</v>
      </c>
      <c r="AP782" s="35">
        <f t="shared" si="238"/>
        <v>13.021904761904763</v>
      </c>
      <c r="AQ782" s="13">
        <f t="shared" si="239"/>
        <v>0.52834052512250418</v>
      </c>
      <c r="AR782" s="424">
        <f t="shared" si="240"/>
        <v>0.41775762451546838</v>
      </c>
      <c r="AS782" s="66">
        <f t="shared" si="256"/>
        <v>45</v>
      </c>
      <c r="AT782" s="11"/>
    </row>
    <row r="783" spans="1:46">
      <c r="A783" s="11" t="s">
        <v>19</v>
      </c>
      <c r="B783" s="5">
        <v>7</v>
      </c>
      <c r="C783" s="355">
        <f t="shared" si="241"/>
        <v>1.8571428571428572</v>
      </c>
      <c r="D783" s="11">
        <v>4</v>
      </c>
      <c r="E783" s="11">
        <f t="shared" si="228"/>
        <v>28</v>
      </c>
      <c r="F783" s="360">
        <f t="shared" si="242"/>
        <v>0.83857142857142863</v>
      </c>
      <c r="G783" s="315">
        <f t="shared" si="243"/>
        <v>3.3014623172103491E-2</v>
      </c>
      <c r="H783" s="4">
        <v>3.5000000000000003E-2</v>
      </c>
      <c r="I783" s="311" t="s">
        <v>15</v>
      </c>
      <c r="J783" s="13">
        <f>E!$E$55</f>
        <v>0.89288288288288087</v>
      </c>
      <c r="K783" s="315">
        <f t="shared" si="229"/>
        <v>3.5152869404837833E-2</v>
      </c>
      <c r="L783" s="365" t="str">
        <f t="shared" si="230"/>
        <v>over</v>
      </c>
      <c r="M783" s="363">
        <f t="shared" si="231"/>
        <v>3.5688545688547735E-2</v>
      </c>
      <c r="N783" s="139">
        <f t="shared" si="244"/>
        <v>8</v>
      </c>
      <c r="O783" s="315">
        <f t="shared" si="232"/>
        <v>0.96425997425997634</v>
      </c>
      <c r="P783" s="315">
        <f t="shared" si="245"/>
        <v>3.7962991112597495E-2</v>
      </c>
      <c r="Q783" s="311" t="s">
        <v>19</v>
      </c>
      <c r="R783" s="349">
        <v>0.04</v>
      </c>
      <c r="S783" s="348">
        <f t="shared" si="246"/>
        <v>1.016</v>
      </c>
      <c r="T783" s="324" t="s">
        <v>290</v>
      </c>
      <c r="U783" s="339">
        <f>13+S785</f>
        <v>14.27</v>
      </c>
      <c r="V783" s="13">
        <f t="shared" si="233"/>
        <v>14.378180180180166</v>
      </c>
      <c r="W783" s="369">
        <f t="shared" si="247"/>
        <v>-0.10818018018016673</v>
      </c>
      <c r="X783" s="13">
        <f t="shared" si="234"/>
        <v>13.362180180180166</v>
      </c>
      <c r="Y783" s="13">
        <f t="shared" si="248"/>
        <v>0.36218018018016629</v>
      </c>
      <c r="Z783" s="353">
        <v>3.2000000000000001E-2</v>
      </c>
      <c r="AA783" s="348">
        <f t="shared" si="249"/>
        <v>0.81279999999999997</v>
      </c>
      <c r="AB783" s="324" t="s">
        <v>290</v>
      </c>
      <c r="AC783" s="339">
        <f>13+AA785</f>
        <v>14.016</v>
      </c>
      <c r="AD783" s="13">
        <f t="shared" si="235"/>
        <v>12.752580180180166</v>
      </c>
      <c r="AE783" s="13">
        <f t="shared" si="250"/>
        <v>1.2634198198198341</v>
      </c>
      <c r="AF783" s="35">
        <f t="shared" si="236"/>
        <v>11.939780180180167</v>
      </c>
      <c r="AG783" s="35">
        <f t="shared" si="251"/>
        <v>-1.0602198198198334</v>
      </c>
      <c r="AH783" s="13">
        <f t="shared" si="252"/>
        <v>0.47652468589368502</v>
      </c>
      <c r="AI783" s="13">
        <f t="shared" si="253"/>
        <v>0.37099510486407961</v>
      </c>
      <c r="AJ783" s="423">
        <f t="shared" si="254"/>
        <v>3.7795275590551181E-2</v>
      </c>
      <c r="AK783" s="403">
        <v>0.96</v>
      </c>
      <c r="AL783" s="324" t="s">
        <v>290</v>
      </c>
      <c r="AM783" s="339">
        <f>13+AK785</f>
        <v>14.14</v>
      </c>
      <c r="AN783" s="35">
        <f t="shared" si="237"/>
        <v>13.930180180180166</v>
      </c>
      <c r="AO783" s="13">
        <f t="shared" si="255"/>
        <v>0.20981981981983466</v>
      </c>
      <c r="AP783" s="35">
        <f t="shared" si="238"/>
        <v>12.970180180180165</v>
      </c>
      <c r="AQ783" s="13">
        <f t="shared" si="239"/>
        <v>0.51811153790052089</v>
      </c>
      <c r="AR783" s="424">
        <f t="shared" si="240"/>
        <v>0.42096562454417319</v>
      </c>
      <c r="AS783" s="66">
        <f t="shared" si="256"/>
        <v>32</v>
      </c>
      <c r="AT783" s="11"/>
    </row>
    <row r="784" spans="1:46">
      <c r="A784" s="11" t="s">
        <v>168</v>
      </c>
      <c r="B784" s="5">
        <v>7</v>
      </c>
      <c r="C784" s="355">
        <f t="shared" si="241"/>
        <v>1.8571428571428572</v>
      </c>
      <c r="D784" s="11">
        <v>2</v>
      </c>
      <c r="E784" s="11">
        <f t="shared" si="228"/>
        <v>14</v>
      </c>
      <c r="F784" s="360">
        <f t="shared" si="242"/>
        <v>0.83857142857142863</v>
      </c>
      <c r="G784" s="315">
        <f t="shared" si="243"/>
        <v>3.3014623172103491E-2</v>
      </c>
      <c r="H784" s="4">
        <v>3.5000000000000003E-2</v>
      </c>
      <c r="I784" s="311" t="s">
        <v>166</v>
      </c>
      <c r="J784" s="13">
        <f>Es!$E$35</f>
        <v>0.8820588235294119</v>
      </c>
      <c r="K784" s="315">
        <f t="shared" si="229"/>
        <v>3.4726725335803621E-2</v>
      </c>
      <c r="L784" s="365" t="str">
        <f t="shared" si="230"/>
        <v>over</v>
      </c>
      <c r="M784" s="363">
        <f t="shared" si="231"/>
        <v>4.6512605042016708E-2</v>
      </c>
      <c r="N784" s="139">
        <f t="shared" si="244"/>
        <v>8</v>
      </c>
      <c r="O784" s="315">
        <f t="shared" si="232"/>
        <v>0.97508403361344531</v>
      </c>
      <c r="P784" s="315">
        <f t="shared" si="245"/>
        <v>3.8389135181631708E-2</v>
      </c>
      <c r="Q784" s="311" t="s">
        <v>168</v>
      </c>
      <c r="R784" s="349">
        <v>0.04</v>
      </c>
      <c r="S784" s="348">
        <f t="shared" si="246"/>
        <v>1.016</v>
      </c>
      <c r="T784" s="324" t="s">
        <v>291</v>
      </c>
      <c r="U784" s="339">
        <f>13+S786</f>
        <v>14.27</v>
      </c>
      <c r="V784" s="13">
        <f t="shared" si="233"/>
        <v>14.302411764705884</v>
      </c>
      <c r="W784" s="369">
        <f t="shared" si="247"/>
        <v>-3.2411764705884138E-2</v>
      </c>
      <c r="X784" s="13">
        <f t="shared" si="234"/>
        <v>13.286411764705884</v>
      </c>
      <c r="Y784" s="13">
        <f t="shared" si="248"/>
        <v>0.2864117647058837</v>
      </c>
      <c r="Z784" s="353">
        <v>3.2000000000000001E-2</v>
      </c>
      <c r="AA784" s="348">
        <f t="shared" si="249"/>
        <v>0.81279999999999997</v>
      </c>
      <c r="AB784" s="324" t="s">
        <v>291</v>
      </c>
      <c r="AC784" s="339">
        <f>13+AA786</f>
        <v>14.016</v>
      </c>
      <c r="AD784" s="13">
        <f t="shared" si="235"/>
        <v>12.676811764705883</v>
      </c>
      <c r="AE784" s="13">
        <f t="shared" si="250"/>
        <v>1.3391882352941167</v>
      </c>
      <c r="AF784" s="35">
        <f t="shared" si="236"/>
        <v>11.864011764705882</v>
      </c>
      <c r="AG784" s="35">
        <f t="shared" si="251"/>
        <v>-1.1359882352941177</v>
      </c>
      <c r="AH784" s="13">
        <f t="shared" si="252"/>
        <v>0.47956796679230612</v>
      </c>
      <c r="AI784" s="13">
        <f t="shared" si="253"/>
        <v>0.37336443083928561</v>
      </c>
      <c r="AJ784" s="423">
        <f t="shared" si="254"/>
        <v>3.858267716535433E-2</v>
      </c>
      <c r="AK784" s="403">
        <v>0.98</v>
      </c>
      <c r="AL784" s="324" t="s">
        <v>291</v>
      </c>
      <c r="AM784" s="339">
        <f>13+AK786</f>
        <v>14.14</v>
      </c>
      <c r="AN784" s="35">
        <f t="shared" si="237"/>
        <v>14.014411764705883</v>
      </c>
      <c r="AO784" s="13">
        <f t="shared" si="255"/>
        <v>0.12558823529411711</v>
      </c>
      <c r="AP784" s="35">
        <f t="shared" si="238"/>
        <v>13.034411764705883</v>
      </c>
      <c r="AQ784" s="13">
        <f t="shared" si="239"/>
        <v>0.52629916284947087</v>
      </c>
      <c r="AR784" s="424">
        <f t="shared" si="240"/>
        <v>0.42963196967303746</v>
      </c>
      <c r="AS784" s="66">
        <f t="shared" si="256"/>
        <v>16</v>
      </c>
      <c r="AT784" s="66"/>
    </row>
    <row r="785" spans="1:46">
      <c r="A785" s="11" t="s">
        <v>21</v>
      </c>
      <c r="B785" s="5">
        <v>6</v>
      </c>
      <c r="C785" s="355">
        <f t="shared" si="241"/>
        <v>2.1666666666666665</v>
      </c>
      <c r="D785" s="11">
        <v>4</v>
      </c>
      <c r="E785" s="11">
        <f t="shared" ref="E785" si="257">B785*D785</f>
        <v>24</v>
      </c>
      <c r="F785" s="360">
        <f t="shared" ref="F785" si="258">C785/2-$E$14</f>
        <v>0.99333333333333329</v>
      </c>
      <c r="G785" s="315">
        <f t="shared" ref="G785" si="259">F785/25.4</f>
        <v>3.910761154855643E-2</v>
      </c>
      <c r="H785" s="4">
        <v>0.04</v>
      </c>
      <c r="I785" s="311" t="s">
        <v>17</v>
      </c>
      <c r="J785" s="13">
        <f>F!$E$43</f>
        <v>1.0238666666666671</v>
      </c>
      <c r="K785" s="315">
        <f t="shared" si="229"/>
        <v>4.0309711286089261E-2</v>
      </c>
      <c r="L785" s="365" t="str">
        <f t="shared" si="230"/>
        <v>over</v>
      </c>
      <c r="M785" s="363">
        <f t="shared" si="231"/>
        <v>5.9466666666666113E-2</v>
      </c>
      <c r="N785" s="139">
        <f t="shared" si="244"/>
        <v>7</v>
      </c>
      <c r="O785" s="315">
        <f t="shared" si="232"/>
        <v>1.1427999999999994</v>
      </c>
      <c r="P785" s="315">
        <f t="shared" ref="P785" si="260">O785/25.4</f>
        <v>4.4992125984251945E-2</v>
      </c>
      <c r="Q785" s="311" t="s">
        <v>21</v>
      </c>
      <c r="R785" s="351">
        <v>0.05</v>
      </c>
      <c r="S785" s="348">
        <f t="shared" si="246"/>
        <v>1.27</v>
      </c>
      <c r="T785" s="324" t="s">
        <v>293</v>
      </c>
      <c r="U785" s="339">
        <f>13+S787</f>
        <v>14.27</v>
      </c>
      <c r="V785" s="13">
        <f t="shared" si="233"/>
        <v>15.033200000000004</v>
      </c>
      <c r="W785" s="369">
        <f t="shared" si="247"/>
        <v>-0.76320000000000476</v>
      </c>
      <c r="X785" s="13">
        <f t="shared" si="234"/>
        <v>13.763200000000003</v>
      </c>
      <c r="Y785" s="13">
        <f t="shared" si="248"/>
        <v>0.76320000000000299</v>
      </c>
      <c r="Z785" s="353">
        <v>0.04</v>
      </c>
      <c r="AA785" s="348">
        <f t="shared" si="249"/>
        <v>1.016</v>
      </c>
      <c r="AB785" s="324" t="s">
        <v>293</v>
      </c>
      <c r="AC785" s="339">
        <f>13+AA787</f>
        <v>14.016</v>
      </c>
      <c r="AD785" s="13">
        <f t="shared" si="235"/>
        <v>13.255200000000002</v>
      </c>
      <c r="AE785" s="13">
        <f t="shared" si="250"/>
        <v>0.76079999999999792</v>
      </c>
      <c r="AF785" s="35">
        <f t="shared" si="236"/>
        <v>12.239200000000004</v>
      </c>
      <c r="AG785" s="35">
        <f t="shared" si="251"/>
        <v>-0.76079999999999615</v>
      </c>
      <c r="AH785" s="13">
        <f t="shared" si="252"/>
        <v>0.49807176939669245</v>
      </c>
      <c r="AI785" s="13">
        <f t="shared" si="253"/>
        <v>0.40983070788940446</v>
      </c>
      <c r="AJ785" s="423">
        <f t="shared" si="254"/>
        <v>4.4881889763779527E-2</v>
      </c>
      <c r="AK785" s="403">
        <v>1.1399999999999999</v>
      </c>
      <c r="AL785" s="324" t="s">
        <v>293</v>
      </c>
      <c r="AM785" s="339">
        <f>13+AK787</f>
        <v>14.28</v>
      </c>
      <c r="AN785" s="35">
        <f t="shared" si="237"/>
        <v>14.123200000000002</v>
      </c>
      <c r="AO785" s="13">
        <f t="shared" si="255"/>
        <v>0.15679999999999694</v>
      </c>
      <c r="AP785" s="35">
        <f t="shared" si="238"/>
        <v>12.983200000000004</v>
      </c>
      <c r="AQ785" s="13">
        <f t="shared" si="239"/>
        <v>0.5268346786616549</v>
      </c>
      <c r="AR785" s="424">
        <f t="shared" si="240"/>
        <v>0.44365025571507782</v>
      </c>
      <c r="AS785" s="66">
        <f t="shared" ref="AS785" si="261">E785+D785</f>
        <v>28</v>
      </c>
      <c r="AT785" s="11"/>
    </row>
    <row r="786" spans="1:46">
      <c r="A786" s="11" t="s">
        <v>243</v>
      </c>
      <c r="B786" s="5">
        <v>6</v>
      </c>
      <c r="C786" s="355">
        <f t="shared" si="241"/>
        <v>2.1666666666666665</v>
      </c>
      <c r="D786" s="11">
        <v>3</v>
      </c>
      <c r="E786" s="11">
        <f>B786*D786</f>
        <v>18</v>
      </c>
      <c r="F786" s="360">
        <f>C786/2-$E$14</f>
        <v>0.99333333333333329</v>
      </c>
      <c r="G786" s="315">
        <f>F786/25.4</f>
        <v>3.910761154855643E-2</v>
      </c>
      <c r="H786" s="4">
        <v>0.04</v>
      </c>
      <c r="I786" s="311" t="s">
        <v>167</v>
      </c>
      <c r="J786" s="13">
        <f>Fs!E$37</f>
        <v>1.0264473684210529</v>
      </c>
      <c r="K786" s="315">
        <f t="shared" si="229"/>
        <v>4.041131371736429E-2</v>
      </c>
      <c r="L786" s="365" t="str">
        <f t="shared" si="230"/>
        <v>over</v>
      </c>
      <c r="M786" s="363">
        <f t="shared" si="231"/>
        <v>5.6885964912280373E-2</v>
      </c>
      <c r="N786" s="139">
        <f t="shared" si="244"/>
        <v>7</v>
      </c>
      <c r="O786" s="315">
        <f t="shared" si="232"/>
        <v>1.1402192982456136</v>
      </c>
      <c r="P786" s="315">
        <f>O786/25.4</f>
        <v>4.4890523552976916E-2</v>
      </c>
      <c r="Q786" s="311" t="s">
        <v>243</v>
      </c>
      <c r="R786" s="351">
        <v>0.05</v>
      </c>
      <c r="S786" s="348">
        <f t="shared" si="246"/>
        <v>1.27</v>
      </c>
      <c r="T786" s="324" t="s">
        <v>294</v>
      </c>
      <c r="U786" s="339">
        <f>13+S788</f>
        <v>14.27</v>
      </c>
      <c r="V786" s="13">
        <f t="shared" si="233"/>
        <v>15.048684210526318</v>
      </c>
      <c r="W786" s="369">
        <f t="shared" si="247"/>
        <v>-0.77868421052631831</v>
      </c>
      <c r="X786" s="13">
        <f t="shared" si="234"/>
        <v>13.778684210526318</v>
      </c>
      <c r="Y786" s="13">
        <f t="shared" si="248"/>
        <v>0.77868421052631831</v>
      </c>
      <c r="Z786" s="353">
        <v>0.04</v>
      </c>
      <c r="AA786" s="348">
        <f t="shared" si="249"/>
        <v>1.016</v>
      </c>
      <c r="AB786" s="324" t="s">
        <v>294</v>
      </c>
      <c r="AC786" s="339">
        <f>13+AA788</f>
        <v>14.016</v>
      </c>
      <c r="AD786" s="13">
        <f t="shared" si="235"/>
        <v>13.270684210526317</v>
      </c>
      <c r="AE786" s="13">
        <f t="shared" si="250"/>
        <v>0.7453157894736826</v>
      </c>
      <c r="AF786" s="35">
        <f t="shared" si="236"/>
        <v>12.254684210526317</v>
      </c>
      <c r="AG786" s="35">
        <f t="shared" si="251"/>
        <v>-0.7453157894736826</v>
      </c>
      <c r="AH786" s="13">
        <f t="shared" si="252"/>
        <v>0.49744243876670141</v>
      </c>
      <c r="AI786" s="13">
        <f t="shared" si="253"/>
        <v>0.4093128728434669</v>
      </c>
      <c r="AJ786" s="423">
        <f t="shared" si="254"/>
        <v>4.4881889763779527E-2</v>
      </c>
      <c r="AK786" s="403">
        <v>1.1399999999999999</v>
      </c>
      <c r="AL786" s="324" t="s">
        <v>294</v>
      </c>
      <c r="AM786" s="339">
        <f>13+AK788</f>
        <v>14.32</v>
      </c>
      <c r="AN786" s="35">
        <f t="shared" si="237"/>
        <v>14.138684210526318</v>
      </c>
      <c r="AO786" s="13">
        <f t="shared" si="255"/>
        <v>0.18131578947368254</v>
      </c>
      <c r="AP786" s="35">
        <f t="shared" si="238"/>
        <v>12.998684210526315</v>
      </c>
      <c r="AQ786" s="13">
        <f t="shared" si="239"/>
        <v>0.52620710598238685</v>
      </c>
      <c r="AR786" s="424">
        <f t="shared" si="240"/>
        <v>0.44312177345885212</v>
      </c>
      <c r="AS786" s="66">
        <f t="shared" ref="AS786:AS791" si="262">E786+D786</f>
        <v>21</v>
      </c>
      <c r="AT786" s="66"/>
    </row>
    <row r="787" spans="1:46">
      <c r="A787" s="11" t="s">
        <v>22</v>
      </c>
      <c r="B787" s="5">
        <v>5</v>
      </c>
      <c r="C787" s="355">
        <f t="shared" si="241"/>
        <v>2.6</v>
      </c>
      <c r="D787" s="11">
        <v>4</v>
      </c>
      <c r="E787" s="11">
        <f t="shared" si="228"/>
        <v>20</v>
      </c>
      <c r="F787" s="360">
        <f t="shared" si="242"/>
        <v>1.21</v>
      </c>
      <c r="G787" s="315">
        <f t="shared" si="243"/>
        <v>4.7637795275590554E-2</v>
      </c>
      <c r="H787" s="4">
        <v>0.05</v>
      </c>
      <c r="I787" s="311" t="s">
        <v>19</v>
      </c>
      <c r="J787" s="13">
        <f>G!$E$39</f>
        <v>1.3200793650793656</v>
      </c>
      <c r="K787" s="315">
        <f t="shared" si="229"/>
        <v>5.1971628546431718E-2</v>
      </c>
      <c r="L787" s="365" t="str">
        <f t="shared" si="230"/>
        <v>over</v>
      </c>
      <c r="M787" s="363">
        <f t="shared" si="231"/>
        <v>-2.0079365079365585E-2</v>
      </c>
      <c r="N787" s="139">
        <f t="shared" si="244"/>
        <v>6</v>
      </c>
      <c r="O787" s="315">
        <f t="shared" si="232"/>
        <v>1.2799206349206345</v>
      </c>
      <c r="P787" s="315">
        <f t="shared" si="245"/>
        <v>5.0390576177977736E-2</v>
      </c>
      <c r="Q787" s="311" t="s">
        <v>22</v>
      </c>
      <c r="R787" s="349">
        <v>0.05</v>
      </c>
      <c r="S787" s="348">
        <f t="shared" si="246"/>
        <v>1.27</v>
      </c>
      <c r="T787" s="324" t="s">
        <v>295</v>
      </c>
      <c r="U787" s="339">
        <f>13+S789</f>
        <v>14.5875</v>
      </c>
      <c r="V787" s="13">
        <f t="shared" si="233"/>
        <v>14.220396825396829</v>
      </c>
      <c r="W787" s="369">
        <f t="shared" si="247"/>
        <v>0.36710317460317121</v>
      </c>
      <c r="X787" s="13">
        <f t="shared" si="234"/>
        <v>12.950396825396828</v>
      </c>
      <c r="Y787" s="13">
        <f t="shared" si="248"/>
        <v>-4.9603174603172207E-2</v>
      </c>
      <c r="Z787" s="353">
        <v>0.04</v>
      </c>
      <c r="AA787" s="348">
        <f t="shared" si="249"/>
        <v>1.016</v>
      </c>
      <c r="AB787" s="324" t="s">
        <v>295</v>
      </c>
      <c r="AC787" s="339">
        <f>13+AA789</f>
        <v>14.27</v>
      </c>
      <c r="AD787" s="13">
        <f t="shared" si="235"/>
        <v>12.696396825396828</v>
      </c>
      <c r="AE787" s="13">
        <f t="shared" si="250"/>
        <v>1.5736031746031713</v>
      </c>
      <c r="AF787" s="35">
        <f t="shared" si="236"/>
        <v>11.680396825396828</v>
      </c>
      <c r="AG787" s="35">
        <f t="shared" si="251"/>
        <v>-1.3196031746031718</v>
      </c>
      <c r="AH787" s="13">
        <f t="shared" si="252"/>
        <v>0.43491673065032299</v>
      </c>
      <c r="AI787" s="13">
        <f t="shared" si="253"/>
        <v>0.35786455396030514</v>
      </c>
      <c r="AJ787" s="423">
        <f t="shared" si="254"/>
        <v>5.0393700787401581E-2</v>
      </c>
      <c r="AK787" s="403">
        <v>1.28</v>
      </c>
      <c r="AL787" s="324" t="s">
        <v>295</v>
      </c>
      <c r="AM787" s="339">
        <f>13+AK789</f>
        <v>14.71</v>
      </c>
      <c r="AN787" s="35">
        <f t="shared" si="237"/>
        <v>14.280396825396828</v>
      </c>
      <c r="AO787" s="13">
        <f t="shared" si="255"/>
        <v>0.42960317460317299</v>
      </c>
      <c r="AP787" s="35">
        <f t="shared" si="238"/>
        <v>13.00039682539683</v>
      </c>
      <c r="AQ787" s="13">
        <f t="shared" si="239"/>
        <v>0.49229266505906399</v>
      </c>
      <c r="AR787" s="424">
        <f t="shared" si="240"/>
        <v>0.42306400903513314</v>
      </c>
      <c r="AS787" s="66">
        <f t="shared" si="262"/>
        <v>24</v>
      </c>
      <c r="AT787" s="11"/>
    </row>
    <row r="788" spans="1:46">
      <c r="A788" s="11" t="s">
        <v>244</v>
      </c>
      <c r="B788" s="5">
        <v>5</v>
      </c>
      <c r="C788" s="355">
        <f t="shared" si="241"/>
        <v>2.6</v>
      </c>
      <c r="D788" s="11">
        <v>2</v>
      </c>
      <c r="E788" s="11">
        <f t="shared" si="228"/>
        <v>10</v>
      </c>
      <c r="F788" s="360">
        <f t="shared" si="242"/>
        <v>1.21</v>
      </c>
      <c r="G788" s="315">
        <f t="shared" si="243"/>
        <v>4.7637795275590554E-2</v>
      </c>
      <c r="H788" s="4">
        <v>0.05</v>
      </c>
      <c r="I788" s="311" t="s">
        <v>168</v>
      </c>
      <c r="J788" s="13">
        <f>Gs!$E$32</f>
        <v>1.2821428571428577</v>
      </c>
      <c r="K788" s="315">
        <f t="shared" si="229"/>
        <v>5.0478065241844797E-2</v>
      </c>
      <c r="L788" s="365" t="str">
        <f t="shared" si="230"/>
        <v>over</v>
      </c>
      <c r="M788" s="363">
        <f t="shared" si="231"/>
        <v>1.785714285714235E-2</v>
      </c>
      <c r="N788" s="139">
        <f t="shared" si="244"/>
        <v>6</v>
      </c>
      <c r="O788" s="315">
        <f t="shared" si="232"/>
        <v>1.3178571428571424</v>
      </c>
      <c r="P788" s="315">
        <f t="shared" si="245"/>
        <v>5.1884139482564665E-2</v>
      </c>
      <c r="Q788" s="311" t="s">
        <v>244</v>
      </c>
      <c r="R788" s="349">
        <v>0.05</v>
      </c>
      <c r="S788" s="348">
        <f t="shared" si="246"/>
        <v>1.27</v>
      </c>
      <c r="T788" s="324" t="s">
        <v>295</v>
      </c>
      <c r="U788" s="339">
        <f>13+S789</f>
        <v>14.5875</v>
      </c>
      <c r="V788" s="13">
        <f t="shared" si="233"/>
        <v>14.030714285714289</v>
      </c>
      <c r="W788" s="369">
        <f t="shared" si="247"/>
        <v>0.55678571428571111</v>
      </c>
      <c r="X788" s="13">
        <f t="shared" si="234"/>
        <v>12.760714285714288</v>
      </c>
      <c r="Y788" s="13">
        <f t="shared" si="248"/>
        <v>-0.2392857142857121</v>
      </c>
      <c r="Z788" s="353">
        <v>0.04</v>
      </c>
      <c r="AA788" s="348">
        <f t="shared" si="249"/>
        <v>1.016</v>
      </c>
      <c r="AB788" s="324" t="s">
        <v>295</v>
      </c>
      <c r="AC788" s="339">
        <f>13+AA789</f>
        <v>14.27</v>
      </c>
      <c r="AD788" s="13">
        <f t="shared" si="235"/>
        <v>12.506714285714288</v>
      </c>
      <c r="AE788" s="13">
        <f t="shared" si="250"/>
        <v>1.7632857142857112</v>
      </c>
      <c r="AF788" s="35">
        <f t="shared" si="236"/>
        <v>11.490714285714287</v>
      </c>
      <c r="AG788" s="35">
        <f t="shared" si="251"/>
        <v>-1.5092857142857135</v>
      </c>
      <c r="AH788" s="13">
        <f t="shared" si="252"/>
        <v>0.44209610244296632</v>
      </c>
      <c r="AI788" s="13">
        <f t="shared" si="253"/>
        <v>0.36377198980543296</v>
      </c>
      <c r="AJ788" s="423">
        <f t="shared" si="254"/>
        <v>5.196850393700788E-2</v>
      </c>
      <c r="AK788" s="403">
        <v>1.32</v>
      </c>
      <c r="AL788" s="324" t="s">
        <v>295</v>
      </c>
      <c r="AM788" s="339">
        <f>13+AK789</f>
        <v>14.71</v>
      </c>
      <c r="AN788" s="35">
        <f t="shared" si="237"/>
        <v>14.330714285714288</v>
      </c>
      <c r="AO788" s="13">
        <f t="shared" si="255"/>
        <v>0.37928571428571267</v>
      </c>
      <c r="AP788" s="35">
        <f t="shared" si="238"/>
        <v>13.01071428571429</v>
      </c>
      <c r="AQ788" s="13">
        <f t="shared" si="239"/>
        <v>0.50727422454021398</v>
      </c>
      <c r="AR788" s="424">
        <f t="shared" si="240"/>
        <v>0.43810046664836666</v>
      </c>
      <c r="AS788" s="66">
        <f t="shared" si="262"/>
        <v>12</v>
      </c>
      <c r="AT788" s="11"/>
    </row>
    <row r="789" spans="1:46">
      <c r="A789" s="11" t="s">
        <v>24</v>
      </c>
      <c r="B789" s="5">
        <v>4</v>
      </c>
      <c r="C789" s="355">
        <f t="shared" si="241"/>
        <v>3.25</v>
      </c>
      <c r="D789" s="11">
        <v>5</v>
      </c>
      <c r="E789" s="11">
        <f t="shared" si="228"/>
        <v>20</v>
      </c>
      <c r="F789" s="360">
        <f t="shared" si="242"/>
        <v>1.5349999999999999</v>
      </c>
      <c r="G789" s="315">
        <f t="shared" si="243"/>
        <v>6.0433070866141733E-2</v>
      </c>
      <c r="H789" s="4">
        <v>0.06</v>
      </c>
      <c r="I789" s="311" t="s">
        <v>21</v>
      </c>
      <c r="J789" s="13">
        <f>H!$E$34</f>
        <v>1.5420833333333335</v>
      </c>
      <c r="K789" s="315">
        <f t="shared" si="229"/>
        <v>6.0711942257217856E-2</v>
      </c>
      <c r="L789" s="365" t="str">
        <f t="shared" si="230"/>
        <v>over</v>
      </c>
      <c r="M789" s="363">
        <f t="shared" si="231"/>
        <v>8.2916666666666528E-2</v>
      </c>
      <c r="N789" s="139">
        <f t="shared" si="244"/>
        <v>5</v>
      </c>
      <c r="O789" s="315">
        <f t="shared" si="232"/>
        <v>1.7079166666666665</v>
      </c>
      <c r="P789" s="315">
        <f t="shared" si="245"/>
        <v>6.7240813648293957E-2</v>
      </c>
      <c r="Q789" s="311" t="s">
        <v>24</v>
      </c>
      <c r="R789" s="349">
        <v>6.25E-2</v>
      </c>
      <c r="S789" s="348">
        <f t="shared" si="246"/>
        <v>1.5874999999999999</v>
      </c>
      <c r="T789" s="324" t="s">
        <v>296</v>
      </c>
      <c r="U789" s="339">
        <f>13+S790</f>
        <v>15.286</v>
      </c>
      <c r="V789" s="13">
        <f t="shared" si="233"/>
        <v>14.105833333333333</v>
      </c>
      <c r="W789" s="369">
        <f t="shared" si="247"/>
        <v>1.1801666666666666</v>
      </c>
      <c r="X789" s="13">
        <f t="shared" si="234"/>
        <v>12.518333333333334</v>
      </c>
      <c r="Y789" s="13">
        <f t="shared" si="248"/>
        <v>-0.48166666666666558</v>
      </c>
      <c r="Z789" s="353">
        <v>0.05</v>
      </c>
      <c r="AA789" s="348">
        <f t="shared" si="249"/>
        <v>1.27</v>
      </c>
      <c r="AB789" s="324" t="s">
        <v>296</v>
      </c>
      <c r="AC789" s="339">
        <f>13+AA790</f>
        <v>14.5875</v>
      </c>
      <c r="AD789" s="13">
        <f t="shared" si="235"/>
        <v>12.518333333333334</v>
      </c>
      <c r="AE789" s="13">
        <f t="shared" si="250"/>
        <v>2.0691666666666659</v>
      </c>
      <c r="AF789" s="35">
        <f t="shared" si="236"/>
        <v>11.248333333333335</v>
      </c>
      <c r="AG789" s="35">
        <f t="shared" si="251"/>
        <v>-1.7516666666666652</v>
      </c>
      <c r="AH789" s="13">
        <f t="shared" si="252"/>
        <v>0.45162246258704986</v>
      </c>
      <c r="AI789" s="13">
        <f t="shared" si="253"/>
        <v>0.38761297970069636</v>
      </c>
      <c r="AJ789" s="423">
        <f t="shared" si="254"/>
        <v>6.7322834645669294E-2</v>
      </c>
      <c r="AK789" s="403">
        <v>1.71</v>
      </c>
      <c r="AL789" s="324" t="s">
        <v>296</v>
      </c>
      <c r="AM789" s="339">
        <f>13+AK790</f>
        <v>15.35</v>
      </c>
      <c r="AN789" s="35">
        <f t="shared" si="237"/>
        <v>14.718333333333334</v>
      </c>
      <c r="AO789" s="13">
        <f t="shared" si="255"/>
        <v>0.63166666666666593</v>
      </c>
      <c r="AP789" s="35">
        <f t="shared" si="238"/>
        <v>13.008333333333333</v>
      </c>
      <c r="AQ789" s="13">
        <f t="shared" si="239"/>
        <v>0.52581678411274824</v>
      </c>
      <c r="AR789" s="424">
        <f t="shared" si="240"/>
        <v>0.47046764894298532</v>
      </c>
      <c r="AS789" s="66">
        <f t="shared" si="262"/>
        <v>25</v>
      </c>
      <c r="AT789" s="11"/>
    </row>
    <row r="790" spans="1:46">
      <c r="A790" s="11" t="s">
        <v>26</v>
      </c>
      <c r="B790" s="5">
        <v>3</v>
      </c>
      <c r="C790" s="355">
        <f t="shared" si="241"/>
        <v>4.333333333333333</v>
      </c>
      <c r="D790" s="11">
        <v>5</v>
      </c>
      <c r="E790" s="11">
        <f t="shared" si="228"/>
        <v>15</v>
      </c>
      <c r="F790" s="360">
        <f t="shared" si="242"/>
        <v>2.0766666666666667</v>
      </c>
      <c r="G790" s="315">
        <f t="shared" si="243"/>
        <v>8.1758530183727043E-2</v>
      </c>
      <c r="H790" s="4">
        <v>0.08</v>
      </c>
      <c r="I790" s="311" t="s">
        <v>22</v>
      </c>
      <c r="J790" s="13">
        <f>I!$E$34</f>
        <v>1.9881249999999993</v>
      </c>
      <c r="K790" s="315">
        <f t="shared" si="229"/>
        <v>7.827263779527556E-2</v>
      </c>
      <c r="L790" s="365" t="str">
        <f t="shared" si="230"/>
        <v>under</v>
      </c>
      <c r="M790" s="363">
        <f t="shared" si="231"/>
        <v>0.17854166666666726</v>
      </c>
      <c r="N790" s="139">
        <f t="shared" si="244"/>
        <v>4</v>
      </c>
      <c r="O790" s="315">
        <f t="shared" si="232"/>
        <v>2.3452083333333338</v>
      </c>
      <c r="P790" s="315">
        <f t="shared" si="245"/>
        <v>9.2331036745406853E-2</v>
      </c>
      <c r="Q790" s="311" t="s">
        <v>26</v>
      </c>
      <c r="R790" s="349">
        <v>0.09</v>
      </c>
      <c r="S790" s="348">
        <f t="shared" si="246"/>
        <v>2.2859999999999996</v>
      </c>
      <c r="T790" s="324" t="s">
        <v>297</v>
      </c>
      <c r="U790" s="339">
        <f>13+S791</f>
        <v>16.175000000000001</v>
      </c>
      <c r="V790" s="13">
        <f t="shared" si="233"/>
        <v>15.108374999999995</v>
      </c>
      <c r="W790" s="369">
        <f t="shared" si="247"/>
        <v>1.0666250000000055</v>
      </c>
      <c r="X790" s="13">
        <f t="shared" si="234"/>
        <v>12.822374999999997</v>
      </c>
      <c r="Y790" s="13">
        <f t="shared" si="248"/>
        <v>-0.17762500000000259</v>
      </c>
      <c r="Z790" s="353">
        <f>1/16</f>
        <v>6.25E-2</v>
      </c>
      <c r="AA790" s="348">
        <f t="shared" si="249"/>
        <v>1.5874999999999999</v>
      </c>
      <c r="AB790" s="324" t="s">
        <v>297</v>
      </c>
      <c r="AC790" s="339">
        <f>13+AA791</f>
        <v>15.032</v>
      </c>
      <c r="AD790" s="13">
        <f t="shared" si="235"/>
        <v>12.314374999999998</v>
      </c>
      <c r="AE790" s="13">
        <f t="shared" si="250"/>
        <v>2.7176250000000017</v>
      </c>
      <c r="AF790" s="35">
        <f t="shared" si="236"/>
        <v>10.726874999999998</v>
      </c>
      <c r="AG790" s="35">
        <f t="shared" si="251"/>
        <v>-2.2731250000000021</v>
      </c>
      <c r="AH790" s="13">
        <f t="shared" si="252"/>
        <v>0.44397832546757565</v>
      </c>
      <c r="AI790" s="13">
        <f t="shared" si="253"/>
        <v>0.39363747596574034</v>
      </c>
      <c r="AJ790" s="423">
        <f t="shared" si="254"/>
        <v>9.2519685039370081E-2</v>
      </c>
      <c r="AK790" s="403">
        <v>2.35</v>
      </c>
      <c r="AL790" s="324" t="s">
        <v>297</v>
      </c>
      <c r="AM790" s="339">
        <f>13+AK791</f>
        <v>16.079999999999998</v>
      </c>
      <c r="AN790" s="35">
        <f t="shared" si="237"/>
        <v>15.364374999999999</v>
      </c>
      <c r="AO790" s="13">
        <f t="shared" si="255"/>
        <v>0.71562499999999929</v>
      </c>
      <c r="AP790" s="35">
        <f t="shared" si="238"/>
        <v>13.014374999999999</v>
      </c>
      <c r="AQ790" s="13">
        <f t="shared" si="239"/>
        <v>0.54170868750900447</v>
      </c>
      <c r="AR790" s="424">
        <f t="shared" si="240"/>
        <v>0.50021610718916587</v>
      </c>
      <c r="AS790" s="66">
        <f t="shared" si="262"/>
        <v>20</v>
      </c>
      <c r="AT790" s="11"/>
    </row>
    <row r="791" spans="1:46">
      <c r="A791" s="11" t="s">
        <v>239</v>
      </c>
      <c r="B791" s="5">
        <v>2</v>
      </c>
      <c r="C791" s="355">
        <f t="shared" si="241"/>
        <v>6.5</v>
      </c>
      <c r="D791" s="11">
        <v>5</v>
      </c>
      <c r="E791" s="11">
        <f t="shared" si="228"/>
        <v>10</v>
      </c>
      <c r="F791" s="360">
        <f t="shared" si="242"/>
        <v>3.16</v>
      </c>
      <c r="G791" s="315">
        <f t="shared" si="243"/>
        <v>0.12440944881889765</v>
      </c>
      <c r="H791" s="4">
        <v>0.125</v>
      </c>
      <c r="I791" s="311" t="s">
        <v>24</v>
      </c>
      <c r="J791" s="13">
        <f>J!$E$29</f>
        <v>3.4239393939393925</v>
      </c>
      <c r="K791" s="315">
        <f t="shared" si="229"/>
        <v>0.13480076354092096</v>
      </c>
      <c r="L791" s="365" t="str">
        <f t="shared" si="230"/>
        <v>over</v>
      </c>
      <c r="M791" s="363">
        <f t="shared" si="231"/>
        <v>-0.17393939393939251</v>
      </c>
      <c r="N791" s="139">
        <f t="shared" si="244"/>
        <v>3</v>
      </c>
      <c r="O791" s="315">
        <f t="shared" si="232"/>
        <v>3.0760606060606075</v>
      </c>
      <c r="P791" s="315">
        <f t="shared" si="245"/>
        <v>0.12110474827010266</v>
      </c>
      <c r="Q791" s="311" t="s">
        <v>239</v>
      </c>
      <c r="R791" s="349">
        <v>0.125</v>
      </c>
      <c r="S791" s="348">
        <f t="shared" si="246"/>
        <v>3.1749999999999998</v>
      </c>
      <c r="T791" s="324" t="s">
        <v>298</v>
      </c>
      <c r="U791" s="339">
        <f>13+MIN(S792,S793)</f>
        <v>19.350000000000001</v>
      </c>
      <c r="V791" s="13">
        <f t="shared" si="233"/>
        <v>16.372878787878783</v>
      </c>
      <c r="W791" s="369">
        <f t="shared" si="247"/>
        <v>2.9771212121212187</v>
      </c>
      <c r="X791" s="13">
        <f t="shared" si="234"/>
        <v>13.197878787878786</v>
      </c>
      <c r="Y791" s="13">
        <f t="shared" si="248"/>
        <v>0.19787878787878554</v>
      </c>
      <c r="Z791" s="353">
        <v>0.08</v>
      </c>
      <c r="AA791" s="348">
        <f t="shared" si="249"/>
        <v>2.032</v>
      </c>
      <c r="AB791" s="324" t="s">
        <v>298</v>
      </c>
      <c r="AC791" s="339">
        <f>13+MIN(AA792,AA793)</f>
        <v>19.350000000000001</v>
      </c>
      <c r="AD791" s="13">
        <f t="shared" si="235"/>
        <v>12.943878787878784</v>
      </c>
      <c r="AE791" s="13">
        <f t="shared" si="250"/>
        <v>6.4061212121212172</v>
      </c>
      <c r="AF791" s="35">
        <f t="shared" si="236"/>
        <v>10.911878787878784</v>
      </c>
      <c r="AG791" s="35">
        <f t="shared" si="251"/>
        <v>-2.0881212121212158</v>
      </c>
      <c r="AH791" s="13">
        <f t="shared" si="252"/>
        <v>0.37243815469380059</v>
      </c>
      <c r="AI791" s="13">
        <f t="shared" si="253"/>
        <v>0.33944658587249937</v>
      </c>
      <c r="AJ791" s="423">
        <f t="shared" si="254"/>
        <v>0.12125984251968505</v>
      </c>
      <c r="AK791" s="403">
        <v>3.08</v>
      </c>
      <c r="AL791" s="324" t="s">
        <v>298</v>
      </c>
      <c r="AM791" s="339">
        <f>13+MIN(AK792,AK793)</f>
        <v>19.3</v>
      </c>
      <c r="AN791" s="35">
        <f t="shared" si="237"/>
        <v>16.087878787878786</v>
      </c>
      <c r="AO791" s="13">
        <f t="shared" si="255"/>
        <v>3.2121212121212146</v>
      </c>
      <c r="AP791" s="35">
        <f t="shared" si="238"/>
        <v>13.007878787878784</v>
      </c>
      <c r="AQ791" s="13">
        <f t="shared" si="239"/>
        <v>0.47355914830172868</v>
      </c>
      <c r="AR791" s="424">
        <f t="shared" si="240"/>
        <v>0.44588361366071855</v>
      </c>
      <c r="AS791" s="66">
        <f t="shared" si="262"/>
        <v>15</v>
      </c>
      <c r="AT791" s="11"/>
    </row>
    <row r="792" spans="1:46">
      <c r="A792" s="11" t="s">
        <v>89</v>
      </c>
      <c r="B792" s="5">
        <v>1</v>
      </c>
      <c r="C792" s="355">
        <f t="shared" si="241"/>
        <v>13</v>
      </c>
      <c r="D792" s="11">
        <v>4</v>
      </c>
      <c r="E792" s="11">
        <f t="shared" si="228"/>
        <v>4</v>
      </c>
      <c r="F792" s="360">
        <f t="shared" si="242"/>
        <v>6.41</v>
      </c>
      <c r="G792" s="315">
        <f t="shared" si="243"/>
        <v>0.25236220472440946</v>
      </c>
      <c r="H792" s="4">
        <v>0.25</v>
      </c>
      <c r="I792" s="311" t="s">
        <v>26</v>
      </c>
      <c r="J792" s="13">
        <f>K!$E$23</f>
        <v>6.6453333333333324</v>
      </c>
      <c r="K792" s="315">
        <f t="shared" si="229"/>
        <v>0.26162729658792649</v>
      </c>
      <c r="L792" s="365" t="str">
        <f t="shared" si="230"/>
        <v>over</v>
      </c>
      <c r="M792" s="363">
        <f t="shared" si="231"/>
        <v>-0.14533333333333243</v>
      </c>
      <c r="N792" s="139">
        <f t="shared" ref="N792:N793" si="263">B792</f>
        <v>1</v>
      </c>
      <c r="O792" s="315">
        <f t="shared" si="232"/>
        <v>6.3546666666666676</v>
      </c>
      <c r="P792" s="315">
        <f t="shared" si="245"/>
        <v>0.25018372703412078</v>
      </c>
      <c r="Q792" s="311" t="s">
        <v>89</v>
      </c>
      <c r="R792" s="349">
        <v>0.25</v>
      </c>
      <c r="S792" s="348">
        <f t="shared" si="246"/>
        <v>6.35</v>
      </c>
      <c r="T792" s="324" t="s">
        <v>299</v>
      </c>
      <c r="U792" s="339">
        <f>13+S774</f>
        <v>13.635</v>
      </c>
      <c r="V792" s="13">
        <f>N792*S792+B792*J792+S774</f>
        <v>13.630333333333331</v>
      </c>
      <c r="W792" s="369">
        <f t="shared" si="247"/>
        <v>4.6666666666688172E-3</v>
      </c>
      <c r="X792" s="13">
        <f t="shared" si="234"/>
        <v>12.995333333333331</v>
      </c>
      <c r="Y792" s="13">
        <f t="shared" si="248"/>
        <v>-4.6666666666688172E-3</v>
      </c>
      <c r="Z792" s="353">
        <v>0.25</v>
      </c>
      <c r="AA792" s="348">
        <f t="shared" si="249"/>
        <v>6.35</v>
      </c>
      <c r="AB792" s="324" t="s">
        <v>299</v>
      </c>
      <c r="AC792" s="339">
        <f>13+AA774</f>
        <v>13.507999999999999</v>
      </c>
      <c r="AD792" s="13">
        <f>AA792*N792+J792*B792+AA774</f>
        <v>13.50333333333333</v>
      </c>
      <c r="AE792" s="13">
        <f t="shared" si="250"/>
        <v>4.6666666666688172E-3</v>
      </c>
      <c r="AF792" s="35">
        <f t="shared" si="236"/>
        <v>12.995333333333331</v>
      </c>
      <c r="AG792" s="35">
        <f t="shared" si="251"/>
        <v>-4.6666666666688172E-3</v>
      </c>
      <c r="AH792" s="13">
        <f t="shared" si="252"/>
        <v>0.48863694659621409</v>
      </c>
      <c r="AI792" s="13">
        <f t="shared" si="253"/>
        <v>0.47478582055096707</v>
      </c>
      <c r="AJ792" s="423">
        <f t="shared" si="254"/>
        <v>0.25</v>
      </c>
      <c r="AK792" s="403">
        <v>6.35</v>
      </c>
      <c r="AL792" s="324" t="s">
        <v>299</v>
      </c>
      <c r="AM792" s="339">
        <f>13+AK774</f>
        <v>13.61</v>
      </c>
      <c r="AN792" s="35">
        <f>AK792*N792+J792*B792+AK774</f>
        <v>13.605333333333331</v>
      </c>
      <c r="AO792" s="13">
        <f t="shared" si="255"/>
        <v>4.6666666666688172E-3</v>
      </c>
      <c r="AP792" s="35">
        <f t="shared" si="238"/>
        <v>12.995333333333331</v>
      </c>
      <c r="AQ792" s="13">
        <f t="shared" si="239"/>
        <v>0.48863694659621409</v>
      </c>
      <c r="AR792" s="424">
        <f t="shared" si="240"/>
        <v>0.47478582055096707</v>
      </c>
      <c r="AS792" s="66">
        <f>E792</f>
        <v>4</v>
      </c>
      <c r="AT792" s="11"/>
    </row>
    <row r="793" spans="1:46">
      <c r="A793" s="32" t="s">
        <v>245</v>
      </c>
      <c r="B793" s="2">
        <v>1</v>
      </c>
      <c r="C793" s="358">
        <f t="shared" si="241"/>
        <v>13</v>
      </c>
      <c r="D793" s="32">
        <v>1</v>
      </c>
      <c r="E793" s="32">
        <f t="shared" si="228"/>
        <v>1</v>
      </c>
      <c r="F793" s="361">
        <f t="shared" si="242"/>
        <v>6.41</v>
      </c>
      <c r="G793" s="338">
        <f t="shared" si="243"/>
        <v>0.25236220472440946</v>
      </c>
      <c r="H793" s="1">
        <v>0.25</v>
      </c>
      <c r="I793" s="357" t="s">
        <v>169</v>
      </c>
      <c r="J793" s="362">
        <f>Ks!$E$20</f>
        <v>6.7025000000000006</v>
      </c>
      <c r="K793" s="338">
        <f t="shared" si="229"/>
        <v>0.26387795275590553</v>
      </c>
      <c r="L793" s="366" t="str">
        <f t="shared" si="230"/>
        <v>over</v>
      </c>
      <c r="M793" s="364">
        <f t="shared" si="231"/>
        <v>-0.20250000000000057</v>
      </c>
      <c r="N793" s="155">
        <f t="shared" si="263"/>
        <v>1</v>
      </c>
      <c r="O793" s="338">
        <f t="shared" si="232"/>
        <v>6.2974999999999994</v>
      </c>
      <c r="P793" s="338">
        <f t="shared" si="245"/>
        <v>0.24793307086614172</v>
      </c>
      <c r="Q793" s="357" t="s">
        <v>245</v>
      </c>
      <c r="R793" s="350">
        <v>0.25</v>
      </c>
      <c r="S793" s="352">
        <f t="shared" si="246"/>
        <v>6.35</v>
      </c>
      <c r="T793" s="368" t="s">
        <v>300</v>
      </c>
      <c r="U793" s="340">
        <f>13+S775</f>
        <v>13.635</v>
      </c>
      <c r="V793" s="362">
        <f>N793*S793+B793*J793+S775</f>
        <v>13.6875</v>
      </c>
      <c r="W793" s="370">
        <f t="shared" si="247"/>
        <v>-5.2500000000000213E-2</v>
      </c>
      <c r="X793" s="113">
        <f t="shared" si="234"/>
        <v>13.0525</v>
      </c>
      <c r="Y793" s="362">
        <f t="shared" si="248"/>
        <v>5.2500000000000213E-2</v>
      </c>
      <c r="Z793" s="354">
        <v>0.25</v>
      </c>
      <c r="AA793" s="352">
        <f t="shared" si="249"/>
        <v>6.35</v>
      </c>
      <c r="AB793" s="368" t="s">
        <v>300</v>
      </c>
      <c r="AC793" s="340">
        <f>13+AA775</f>
        <v>13.507999999999999</v>
      </c>
      <c r="AD793" s="362">
        <f>AA793*N793+J793*B793+AA775</f>
        <v>13.560500000000001</v>
      </c>
      <c r="AE793" s="362">
        <f t="shared" si="250"/>
        <v>-5.250000000000199E-2</v>
      </c>
      <c r="AF793" s="36">
        <f t="shared" si="236"/>
        <v>13.0525</v>
      </c>
      <c r="AG793" s="36">
        <f t="shared" si="251"/>
        <v>5.2500000000000213E-2</v>
      </c>
      <c r="AH793" s="362">
        <f t="shared" si="252"/>
        <v>0.48649683968588392</v>
      </c>
      <c r="AI793" s="362">
        <f t="shared" si="253"/>
        <v>0.47270637808848875</v>
      </c>
      <c r="AJ793" s="425">
        <f t="shared" si="254"/>
        <v>0.24803149606299213</v>
      </c>
      <c r="AK793" s="404">
        <v>6.3</v>
      </c>
      <c r="AL793" s="368" t="s">
        <v>300</v>
      </c>
      <c r="AM793" s="340">
        <f>13+AK775</f>
        <v>13.61</v>
      </c>
      <c r="AN793" s="36">
        <f>AK793*N793+J793*B793+AK775</f>
        <v>13.612500000000001</v>
      </c>
      <c r="AO793" s="338">
        <f t="shared" si="255"/>
        <v>-2.500000000001279E-3</v>
      </c>
      <c r="AP793" s="36">
        <f t="shared" si="238"/>
        <v>13.002500000000001</v>
      </c>
      <c r="AQ793" s="362">
        <f t="shared" si="239"/>
        <v>0.48452220726783307</v>
      </c>
      <c r="AR793" s="426">
        <f t="shared" si="240"/>
        <v>0.47067871563160929</v>
      </c>
      <c r="AS793" s="111">
        <f>E793</f>
        <v>1</v>
      </c>
      <c r="AT793" s="32"/>
    </row>
    <row r="794" spans="1:46" ht="15.75" thickBot="1">
      <c r="D794">
        <f>SUM(D774:D793)</f>
        <v>71</v>
      </c>
      <c r="E794">
        <f>SUM(E774:E793)</f>
        <v>504</v>
      </c>
      <c r="AD794" s="15"/>
      <c r="AE794" s="15"/>
      <c r="AJ794" s="416"/>
      <c r="AK794" s="330"/>
      <c r="AL794" s="330"/>
      <c r="AM794" s="330"/>
      <c r="AN794" s="330"/>
      <c r="AO794" s="330"/>
      <c r="AP794" s="330"/>
      <c r="AQ794" s="330"/>
      <c r="AR794" s="417"/>
    </row>
    <row r="797" spans="1:46">
      <c r="A797" t="s">
        <v>270</v>
      </c>
      <c r="E797" t="s">
        <v>328</v>
      </c>
    </row>
    <row r="798" spans="1:46">
      <c r="A798" t="s">
        <v>326</v>
      </c>
      <c r="D798" t="s">
        <v>279</v>
      </c>
    </row>
    <row r="799" spans="1:46">
      <c r="A799" t="s">
        <v>327</v>
      </c>
    </row>
    <row r="803" spans="1:36" ht="26.25">
      <c r="A803" s="388" t="s">
        <v>331</v>
      </c>
      <c r="B803" s="388"/>
    </row>
    <row r="804" spans="1:36" ht="27" thickBot="1">
      <c r="A804" s="388"/>
      <c r="B804" s="388"/>
    </row>
    <row r="805" spans="1:36" ht="19.5">
      <c r="B805" s="392" t="s">
        <v>325</v>
      </c>
      <c r="E805" s="392" t="s">
        <v>264</v>
      </c>
      <c r="I805" s="392" t="s">
        <v>265</v>
      </c>
      <c r="O805" s="405" t="s">
        <v>324</v>
      </c>
      <c r="P805" s="406"/>
      <c r="Q805" s="406"/>
      <c r="R805" s="406"/>
      <c r="S805" s="406"/>
      <c r="T805" s="407"/>
    </row>
    <row r="806" spans="1:36" s="310" customFormat="1">
      <c r="A806" s="379" t="s">
        <v>246</v>
      </c>
      <c r="B806" s="311" t="s">
        <v>247</v>
      </c>
      <c r="C806" s="313" t="s">
        <v>302</v>
      </c>
      <c r="D806" s="379" t="s">
        <v>256</v>
      </c>
      <c r="E806" s="396" t="s">
        <v>303</v>
      </c>
      <c r="F806" s="313" t="s">
        <v>304</v>
      </c>
      <c r="G806" s="313" t="s">
        <v>310</v>
      </c>
      <c r="H806" s="379" t="s">
        <v>306</v>
      </c>
      <c r="I806" s="396" t="s">
        <v>305</v>
      </c>
      <c r="J806" s="313" t="s">
        <v>304</v>
      </c>
      <c r="K806" s="313" t="s">
        <v>310</v>
      </c>
      <c r="L806" s="313" t="s">
        <v>320</v>
      </c>
      <c r="M806" s="313" t="s">
        <v>306</v>
      </c>
      <c r="N806" s="398" t="s">
        <v>308</v>
      </c>
      <c r="O806" s="408" t="s">
        <v>315</v>
      </c>
      <c r="P806" s="335" t="s">
        <v>316</v>
      </c>
      <c r="Q806" s="335" t="s">
        <v>321</v>
      </c>
      <c r="R806" s="335" t="s">
        <v>320</v>
      </c>
      <c r="S806" s="335" t="s">
        <v>308</v>
      </c>
      <c r="T806" s="409" t="s">
        <v>308</v>
      </c>
      <c r="AJ806" s="343"/>
    </row>
    <row r="807" spans="1:36" s="310" customFormat="1">
      <c r="A807" s="393"/>
      <c r="B807" s="357" t="s">
        <v>113</v>
      </c>
      <c r="C807" s="342" t="s">
        <v>113</v>
      </c>
      <c r="D807" s="393" t="s">
        <v>113</v>
      </c>
      <c r="E807" s="394" t="s">
        <v>113</v>
      </c>
      <c r="F807" s="342" t="s">
        <v>113</v>
      </c>
      <c r="G807" s="342"/>
      <c r="H807" s="393" t="s">
        <v>307</v>
      </c>
      <c r="I807" s="394" t="s">
        <v>113</v>
      </c>
      <c r="J807" s="342" t="s">
        <v>113</v>
      </c>
      <c r="K807" s="342"/>
      <c r="L807" s="342" t="s">
        <v>113</v>
      </c>
      <c r="M807" s="342" t="s">
        <v>307</v>
      </c>
      <c r="N807" s="342" t="s">
        <v>309</v>
      </c>
      <c r="O807" s="410" t="s">
        <v>113</v>
      </c>
      <c r="P807" s="395" t="s">
        <v>113</v>
      </c>
      <c r="Q807" s="342"/>
      <c r="R807" s="342" t="s">
        <v>113</v>
      </c>
      <c r="S807" s="342" t="s">
        <v>307</v>
      </c>
      <c r="T807" s="411" t="s">
        <v>309</v>
      </c>
      <c r="AJ807" s="343"/>
    </row>
    <row r="808" spans="1:36">
      <c r="A808" s="373" t="s">
        <v>6</v>
      </c>
      <c r="B808" s="374">
        <f>13/B774</f>
        <v>1</v>
      </c>
      <c r="C808" s="375">
        <f>J774</f>
        <v>0.38399999999999984</v>
      </c>
      <c r="D808" s="376">
        <f>B808-C808</f>
        <v>0.6160000000000001</v>
      </c>
      <c r="E808" s="389">
        <f>S774</f>
        <v>0.63500000000000001</v>
      </c>
      <c r="F808" s="375">
        <f>V774</f>
        <v>13.881999999999998</v>
      </c>
      <c r="G808" s="371" t="str">
        <f>IF(W774&lt;0, "yes","no")</f>
        <v>yes</v>
      </c>
      <c r="H808" s="376">
        <f>E808/B808</f>
        <v>0.63500000000000001</v>
      </c>
      <c r="I808" s="389">
        <f>S774</f>
        <v>0.63500000000000001</v>
      </c>
      <c r="J808" s="375">
        <f>AD774</f>
        <v>12.103999999999999</v>
      </c>
      <c r="K808" s="313" t="str">
        <f>IF(AE774&lt;0, "yes", "no")</f>
        <v>no</v>
      </c>
      <c r="L808" s="377">
        <f>AF774</f>
        <v>11.595999999999998</v>
      </c>
      <c r="M808" s="375">
        <f>AH774</f>
        <v>0.56950672645739919</v>
      </c>
      <c r="N808" s="375">
        <f>AI774</f>
        <v>0.36771300448430499</v>
      </c>
      <c r="O808" s="412">
        <f>AK774</f>
        <v>0.61</v>
      </c>
      <c r="P808" s="377">
        <f>AN774</f>
        <v>13.531999999999996</v>
      </c>
      <c r="Q808" s="398" t="str">
        <f>IF(AO774&lt;0,"yes","no")</f>
        <v>no</v>
      </c>
      <c r="R808" s="377">
        <f>AP774</f>
        <v>12.921999999999997</v>
      </c>
      <c r="S808" s="375">
        <f>AQ774</f>
        <v>0.61368209255533213</v>
      </c>
      <c r="T808" s="413">
        <f>AR774</f>
        <v>0.43259557344064398</v>
      </c>
    </row>
    <row r="809" spans="1:36">
      <c r="A809" s="373" t="s">
        <v>164</v>
      </c>
      <c r="B809" s="374">
        <f t="shared" ref="B809:B827" si="264">13/B775</f>
        <v>1</v>
      </c>
      <c r="C809" s="375">
        <f t="shared" ref="C809:C827" si="265">J775</f>
        <v>0.38482758620689661</v>
      </c>
      <c r="D809" s="376">
        <f t="shared" ref="D809:D827" si="266">B809-C809</f>
        <v>0.61517241379310339</v>
      </c>
      <c r="E809" s="389">
        <f t="shared" ref="E809:E827" si="267">S775</f>
        <v>0.63500000000000001</v>
      </c>
      <c r="F809" s="375">
        <f t="shared" ref="F809:F827" si="268">V775</f>
        <v>13.892758620689657</v>
      </c>
      <c r="G809" s="371" t="str">
        <f t="shared" ref="G809:G827" si="269">IF(W775&lt;0, "yes","no")</f>
        <v>yes</v>
      </c>
      <c r="H809" s="376">
        <f t="shared" ref="H809:H827" si="270">E809/B809</f>
        <v>0.63500000000000001</v>
      </c>
      <c r="I809" s="389">
        <f t="shared" ref="I809:I827" si="271">S775</f>
        <v>0.63500000000000001</v>
      </c>
      <c r="J809" s="375">
        <f t="shared" ref="J809:J827" si="272">AD775</f>
        <v>12.114758620689656</v>
      </c>
      <c r="K809" s="313" t="str">
        <f t="shared" ref="K809:K827" si="273">IF(AE775&lt;0, "yes", "no")</f>
        <v>no</v>
      </c>
      <c r="L809" s="377">
        <f t="shared" ref="L809:L827" si="274">AF775</f>
        <v>11.606758620689655</v>
      </c>
      <c r="M809" s="375">
        <f t="shared" ref="M809:M827" si="275">AH775</f>
        <v>0.56897883516143977</v>
      </c>
      <c r="N809" s="375">
        <f t="shared" ref="N809:N827" si="276">AI775</f>
        <v>0.36737216128533912</v>
      </c>
      <c r="O809" s="412">
        <f t="shared" ref="O809:O827" si="277">AK775</f>
        <v>0.61</v>
      </c>
      <c r="P809" s="377">
        <f t="shared" ref="P809:P827" si="278">AN775</f>
        <v>13.542758620689655</v>
      </c>
      <c r="Q809" s="398" t="str">
        <f t="shared" ref="Q809:Q827" si="279">IF(AO775&lt;0,"yes","no")</f>
        <v>no</v>
      </c>
      <c r="R809" s="377">
        <f t="shared" ref="R809:R827" si="280">AP775</f>
        <v>12.932758620689656</v>
      </c>
      <c r="S809" s="375">
        <f t="shared" ref="S809:S827" si="281">AQ775</f>
        <v>0.61317157712305026</v>
      </c>
      <c r="T809" s="413">
        <f t="shared" ref="T809:T827" si="282">AR775</f>
        <v>0.43223570190641247</v>
      </c>
    </row>
    <row r="810" spans="1:36">
      <c r="A810" s="373" t="s">
        <v>9</v>
      </c>
      <c r="B810" s="374">
        <f t="shared" si="264"/>
        <v>1.0833333333333333</v>
      </c>
      <c r="C810" s="375">
        <f t="shared" si="265"/>
        <v>0.50045454545454471</v>
      </c>
      <c r="D810" s="376">
        <f t="shared" si="266"/>
        <v>0.58287878787878855</v>
      </c>
      <c r="E810" s="389">
        <f t="shared" si="267"/>
        <v>0.63500000000000001</v>
      </c>
      <c r="F810" s="375">
        <f t="shared" si="268"/>
        <v>14.260454545454538</v>
      </c>
      <c r="G810" s="371" t="str">
        <f t="shared" si="269"/>
        <v>yes</v>
      </c>
      <c r="H810" s="376">
        <f t="shared" si="270"/>
        <v>0.58615384615384625</v>
      </c>
      <c r="I810" s="389">
        <f t="shared" si="271"/>
        <v>0.63500000000000001</v>
      </c>
      <c r="J810" s="375">
        <f t="shared" si="272"/>
        <v>12.609454545454536</v>
      </c>
      <c r="K810" s="313" t="str">
        <f t="shared" si="273"/>
        <v>no</v>
      </c>
      <c r="L810" s="377">
        <f t="shared" si="274"/>
        <v>12.101454545454535</v>
      </c>
      <c r="M810" s="375">
        <f t="shared" si="275"/>
        <v>0.50374109798972366</v>
      </c>
      <c r="N810" s="375">
        <f t="shared" si="276"/>
        <v>0.32525015775714444</v>
      </c>
      <c r="O810" s="412">
        <f t="shared" si="277"/>
        <v>0.57999999999999996</v>
      </c>
      <c r="P810" s="377">
        <f t="shared" si="278"/>
        <v>13.545454545454536</v>
      </c>
      <c r="Q810" s="398" t="str">
        <f t="shared" si="279"/>
        <v>no</v>
      </c>
      <c r="R810" s="377">
        <f t="shared" si="280"/>
        <v>12.965454545454536</v>
      </c>
      <c r="S810" s="375">
        <f t="shared" si="281"/>
        <v>0.53681110643668528</v>
      </c>
      <c r="T810" s="413">
        <f t="shared" si="282"/>
        <v>0.37021455616323118</v>
      </c>
    </row>
    <row r="811" spans="1:36">
      <c r="A811" s="373" t="s">
        <v>165</v>
      </c>
      <c r="B811" s="374">
        <f t="shared" si="264"/>
        <v>1.0833333333333333</v>
      </c>
      <c r="C811" s="375">
        <f t="shared" si="265"/>
        <v>0.51437837837837885</v>
      </c>
      <c r="D811" s="376">
        <f t="shared" si="266"/>
        <v>0.56895495495495441</v>
      </c>
      <c r="E811" s="389">
        <f t="shared" si="267"/>
        <v>0.50800000000000001</v>
      </c>
      <c r="F811" s="375">
        <f t="shared" si="268"/>
        <v>12.776540540540546</v>
      </c>
      <c r="G811" s="313" t="str">
        <f t="shared" si="269"/>
        <v>no</v>
      </c>
      <c r="H811" s="376">
        <f t="shared" si="270"/>
        <v>0.46892307692307694</v>
      </c>
      <c r="I811" s="389">
        <f t="shared" si="271"/>
        <v>0.50800000000000001</v>
      </c>
      <c r="J811" s="375">
        <f t="shared" si="272"/>
        <v>12.776540540540546</v>
      </c>
      <c r="K811" s="313" t="str">
        <f t="shared" si="273"/>
        <v>no</v>
      </c>
      <c r="L811" s="377">
        <f t="shared" si="274"/>
        <v>12.268540540540545</v>
      </c>
      <c r="M811" s="375">
        <f t="shared" si="275"/>
        <v>0.49688061753198665</v>
      </c>
      <c r="N811" s="375">
        <f t="shared" si="276"/>
        <v>0.3208205562017552</v>
      </c>
      <c r="O811" s="412">
        <f t="shared" si="277"/>
        <v>0.56999999999999995</v>
      </c>
      <c r="P811" s="377">
        <f t="shared" si="278"/>
        <v>13.582540540540545</v>
      </c>
      <c r="Q811" s="398" t="str">
        <f t="shared" si="279"/>
        <v>no</v>
      </c>
      <c r="R811" s="377">
        <f t="shared" si="280"/>
        <v>13.012540540540547</v>
      </c>
      <c r="S811" s="375">
        <f t="shared" si="281"/>
        <v>0.52564677732914578</v>
      </c>
      <c r="T811" s="413">
        <f t="shared" si="282"/>
        <v>0.35965305817257343</v>
      </c>
    </row>
    <row r="812" spans="1:36">
      <c r="A812" s="373" t="s">
        <v>11</v>
      </c>
      <c r="B812" s="374">
        <f t="shared" si="264"/>
        <v>1.1818181818181819</v>
      </c>
      <c r="C812" s="375">
        <f t="shared" si="265"/>
        <v>0.50045454545454471</v>
      </c>
      <c r="D812" s="376">
        <f t="shared" si="266"/>
        <v>0.68136363636363717</v>
      </c>
      <c r="E812" s="389">
        <f t="shared" si="267"/>
        <v>0.63500000000000001</v>
      </c>
      <c r="F812" s="375">
        <f t="shared" si="268"/>
        <v>13.124999999999993</v>
      </c>
      <c r="G812" s="313" t="str">
        <f t="shared" si="269"/>
        <v>no</v>
      </c>
      <c r="H812" s="376">
        <f t="shared" si="270"/>
        <v>0.53730769230769226</v>
      </c>
      <c r="I812" s="389">
        <f t="shared" si="271"/>
        <v>0.63500000000000001</v>
      </c>
      <c r="J812" s="375">
        <f t="shared" si="272"/>
        <v>13.124999999999993</v>
      </c>
      <c r="K812" s="313" t="str">
        <f t="shared" si="273"/>
        <v>no</v>
      </c>
      <c r="L812" s="377">
        <f t="shared" si="274"/>
        <v>12.489999999999993</v>
      </c>
      <c r="M812" s="375">
        <f t="shared" si="275"/>
        <v>0.559247397918335</v>
      </c>
      <c r="N812" s="375">
        <f t="shared" si="276"/>
        <v>0.40072057646116915</v>
      </c>
      <c r="O812" s="412">
        <f t="shared" si="277"/>
        <v>0.68</v>
      </c>
      <c r="P812" s="377">
        <f t="shared" si="278"/>
        <v>13.664999999999992</v>
      </c>
      <c r="Q812" s="398" t="str">
        <f t="shared" si="279"/>
        <v>no</v>
      </c>
      <c r="R812" s="377">
        <f t="shared" si="280"/>
        <v>12.984999999999992</v>
      </c>
      <c r="S812" s="375">
        <f t="shared" si="281"/>
        <v>0.57604928763958452</v>
      </c>
      <c r="T812" s="413">
        <f t="shared" si="282"/>
        <v>0.42356565267616508</v>
      </c>
    </row>
    <row r="813" spans="1:36">
      <c r="A813" s="373" t="s">
        <v>226</v>
      </c>
      <c r="B813" s="374">
        <f t="shared" si="264"/>
        <v>1.1818181818181819</v>
      </c>
      <c r="C813" s="375">
        <f t="shared" si="265"/>
        <v>0.51437837837837885</v>
      </c>
      <c r="D813" s="376">
        <f t="shared" si="266"/>
        <v>0.66743980343980303</v>
      </c>
      <c r="E813" s="389">
        <f t="shared" si="267"/>
        <v>0.63500000000000001</v>
      </c>
      <c r="F813" s="375">
        <f t="shared" si="268"/>
        <v>13.278162162162168</v>
      </c>
      <c r="G813" s="313" t="str">
        <f t="shared" si="269"/>
        <v>no</v>
      </c>
      <c r="H813" s="376">
        <f t="shared" si="270"/>
        <v>0.53730769230769226</v>
      </c>
      <c r="I813" s="389">
        <f t="shared" si="271"/>
        <v>0.63500000000000001</v>
      </c>
      <c r="J813" s="375">
        <f t="shared" si="272"/>
        <v>13.278162162162168</v>
      </c>
      <c r="K813" s="313" t="str">
        <f t="shared" si="273"/>
        <v>no</v>
      </c>
      <c r="L813" s="377">
        <f t="shared" si="274"/>
        <v>12.643162162162167</v>
      </c>
      <c r="M813" s="375">
        <f t="shared" si="275"/>
        <v>0.55247254685258751</v>
      </c>
      <c r="N813" s="375">
        <f t="shared" si="276"/>
        <v>0.39586615561878319</v>
      </c>
      <c r="O813" s="412">
        <f t="shared" si="277"/>
        <v>0.67</v>
      </c>
      <c r="P813" s="377">
        <f t="shared" si="278"/>
        <v>13.698162162162168</v>
      </c>
      <c r="Q813" s="398" t="str">
        <f t="shared" si="279"/>
        <v>no</v>
      </c>
      <c r="R813" s="377">
        <f t="shared" si="280"/>
        <v>13.028162162162168</v>
      </c>
      <c r="S813" s="375">
        <f t="shared" si="281"/>
        <v>0.56569759481538928</v>
      </c>
      <c r="T813" s="413">
        <f t="shared" si="282"/>
        <v>0.41371913650677722</v>
      </c>
    </row>
    <row r="814" spans="1:36">
      <c r="A814" s="379" t="s">
        <v>13</v>
      </c>
      <c r="B814" s="374">
        <f t="shared" si="264"/>
        <v>1.3</v>
      </c>
      <c r="C814" s="375">
        <f t="shared" si="265"/>
        <v>0.50045454545454471</v>
      </c>
      <c r="D814" s="376">
        <f t="shared" si="266"/>
        <v>0.79954545454545534</v>
      </c>
      <c r="E814" s="389">
        <f t="shared" si="267"/>
        <v>0.81279999999999997</v>
      </c>
      <c r="F814" s="375">
        <f t="shared" si="268"/>
        <v>13.945345454545446</v>
      </c>
      <c r="G814" s="371" t="str">
        <f t="shared" si="269"/>
        <v>yes</v>
      </c>
      <c r="H814" s="376">
        <f t="shared" si="270"/>
        <v>0.62523076923076915</v>
      </c>
      <c r="I814" s="389">
        <f t="shared" si="271"/>
        <v>0.81279999999999997</v>
      </c>
      <c r="J814" s="375">
        <f t="shared" si="272"/>
        <v>11.989545454545446</v>
      </c>
      <c r="K814" s="313" t="str">
        <f t="shared" si="273"/>
        <v>no</v>
      </c>
      <c r="L814" s="377">
        <f t="shared" si="274"/>
        <v>11.354545454545448</v>
      </c>
      <c r="M814" s="375">
        <f t="shared" si="275"/>
        <v>0.559247397918335</v>
      </c>
      <c r="N814" s="375">
        <f t="shared" si="276"/>
        <v>0.40072057646116915</v>
      </c>
      <c r="O814" s="412">
        <f t="shared" si="277"/>
        <v>0.8</v>
      </c>
      <c r="P814" s="377">
        <f t="shared" si="278"/>
        <v>13.804545454545448</v>
      </c>
      <c r="Q814" s="398" t="str">
        <f t="shared" si="279"/>
        <v>no</v>
      </c>
      <c r="R814" s="377">
        <f t="shared" si="280"/>
        <v>13.004545454545449</v>
      </c>
      <c r="S814" s="375">
        <f t="shared" si="281"/>
        <v>0.61516952114645262</v>
      </c>
      <c r="T814" s="413">
        <f t="shared" si="282"/>
        <v>0.47675637888850081</v>
      </c>
    </row>
    <row r="815" spans="1:36">
      <c r="A815" s="379" t="s">
        <v>15</v>
      </c>
      <c r="B815" s="374">
        <f t="shared" si="264"/>
        <v>1.4444444444444444</v>
      </c>
      <c r="C815" s="375">
        <f t="shared" si="265"/>
        <v>0.6309444444444442</v>
      </c>
      <c r="D815" s="376">
        <f t="shared" si="266"/>
        <v>0.81350000000000022</v>
      </c>
      <c r="E815" s="389">
        <f t="shared" si="267"/>
        <v>0.81279999999999997</v>
      </c>
      <c r="F815" s="375">
        <f t="shared" si="268"/>
        <v>13.806499999999998</v>
      </c>
      <c r="G815" s="313" t="str">
        <f t="shared" si="269"/>
        <v>no</v>
      </c>
      <c r="H815" s="376">
        <f t="shared" si="270"/>
        <v>0.56270769230769224</v>
      </c>
      <c r="I815" s="389">
        <f t="shared" si="271"/>
        <v>0.81279999999999997</v>
      </c>
      <c r="J815" s="375">
        <f t="shared" si="272"/>
        <v>12.028499999999998</v>
      </c>
      <c r="K815" s="313" t="str">
        <f t="shared" si="273"/>
        <v>no</v>
      </c>
      <c r="L815" s="377">
        <f t="shared" si="274"/>
        <v>11.393499999999996</v>
      </c>
      <c r="M815" s="375">
        <f t="shared" si="275"/>
        <v>0.50160179049458042</v>
      </c>
      <c r="N815" s="375">
        <f t="shared" si="276"/>
        <v>0.35941545618115606</v>
      </c>
      <c r="O815" s="412">
        <f t="shared" si="277"/>
        <v>0.81</v>
      </c>
      <c r="P815" s="377">
        <f t="shared" si="278"/>
        <v>13.778499999999999</v>
      </c>
      <c r="Q815" s="398" t="str">
        <f t="shared" si="279"/>
        <v>no</v>
      </c>
      <c r="R815" s="377">
        <f t="shared" si="280"/>
        <v>12.968499999999999</v>
      </c>
      <c r="S815" s="375">
        <f t="shared" si="281"/>
        <v>0.56213131819408579</v>
      </c>
      <c r="T815" s="413">
        <f t="shared" si="282"/>
        <v>0.43721324748428897</v>
      </c>
    </row>
    <row r="816" spans="1:36">
      <c r="A816" s="379" t="s">
        <v>17</v>
      </c>
      <c r="B816" s="374">
        <f t="shared" si="264"/>
        <v>1.625</v>
      </c>
      <c r="C816" s="375">
        <f t="shared" si="265"/>
        <v>0.76773809523809533</v>
      </c>
      <c r="D816" s="376">
        <f t="shared" si="266"/>
        <v>0.85726190476190467</v>
      </c>
      <c r="E816" s="389">
        <f t="shared" si="267"/>
        <v>0.81279999999999997</v>
      </c>
      <c r="F816" s="375">
        <f t="shared" si="268"/>
        <v>13.457104761904763</v>
      </c>
      <c r="G816" s="313" t="str">
        <f t="shared" si="269"/>
        <v>no</v>
      </c>
      <c r="H816" s="376">
        <f t="shared" si="270"/>
        <v>0.50018461538461534</v>
      </c>
      <c r="I816" s="389">
        <f t="shared" si="271"/>
        <v>0.81279999999999997</v>
      </c>
      <c r="J816" s="375">
        <f t="shared" si="272"/>
        <v>13.457104761904763</v>
      </c>
      <c r="K816" s="313" t="str">
        <f t="shared" si="273"/>
        <v>no</v>
      </c>
      <c r="L816" s="377">
        <f t="shared" si="274"/>
        <v>12.644304761904763</v>
      </c>
      <c r="M816" s="375">
        <f t="shared" si="275"/>
        <v>0.51425524158439107</v>
      </c>
      <c r="N816" s="375">
        <f t="shared" si="276"/>
        <v>0.40036997646973754</v>
      </c>
      <c r="O816" s="412">
        <f t="shared" si="277"/>
        <v>0.86</v>
      </c>
      <c r="P816" s="377">
        <f t="shared" si="278"/>
        <v>13.881904761904764</v>
      </c>
      <c r="Q816" s="398" t="str">
        <f t="shared" si="279"/>
        <v>no</v>
      </c>
      <c r="R816" s="377">
        <f t="shared" si="280"/>
        <v>13.021904761904763</v>
      </c>
      <c r="S816" s="375">
        <f t="shared" si="281"/>
        <v>0.52834052512250418</v>
      </c>
      <c r="T816" s="413">
        <f t="shared" si="282"/>
        <v>0.41775762451546838</v>
      </c>
    </row>
    <row r="817" spans="1:20">
      <c r="A817" s="379" t="s">
        <v>19</v>
      </c>
      <c r="B817" s="374">
        <f t="shared" si="264"/>
        <v>1.8571428571428572</v>
      </c>
      <c r="C817" s="375">
        <f t="shared" si="265"/>
        <v>0.89288288288288087</v>
      </c>
      <c r="D817" s="376">
        <f t="shared" si="266"/>
        <v>0.96425997425997634</v>
      </c>
      <c r="E817" s="389">
        <f t="shared" si="267"/>
        <v>1.016</v>
      </c>
      <c r="F817" s="375">
        <f t="shared" si="268"/>
        <v>14.378180180180166</v>
      </c>
      <c r="G817" s="371" t="str">
        <f t="shared" si="269"/>
        <v>yes</v>
      </c>
      <c r="H817" s="376">
        <f t="shared" si="270"/>
        <v>0.54707692307692302</v>
      </c>
      <c r="I817" s="389">
        <f t="shared" si="271"/>
        <v>1.016</v>
      </c>
      <c r="J817" s="375">
        <f t="shared" si="272"/>
        <v>12.752580180180166</v>
      </c>
      <c r="K817" s="313" t="str">
        <f t="shared" si="273"/>
        <v>no</v>
      </c>
      <c r="L817" s="377">
        <f t="shared" si="274"/>
        <v>11.939780180180167</v>
      </c>
      <c r="M817" s="375">
        <f t="shared" si="275"/>
        <v>0.47652468589368502</v>
      </c>
      <c r="N817" s="375">
        <f t="shared" si="276"/>
        <v>0.37099510486407961</v>
      </c>
      <c r="O817" s="412">
        <f t="shared" si="277"/>
        <v>0.96</v>
      </c>
      <c r="P817" s="377">
        <f t="shared" si="278"/>
        <v>13.930180180180166</v>
      </c>
      <c r="Q817" s="398" t="str">
        <f t="shared" si="279"/>
        <v>no</v>
      </c>
      <c r="R817" s="377">
        <f t="shared" si="280"/>
        <v>12.970180180180165</v>
      </c>
      <c r="S817" s="375">
        <f t="shared" si="281"/>
        <v>0.51811153790052089</v>
      </c>
      <c r="T817" s="413">
        <f t="shared" si="282"/>
        <v>0.42096562454417319</v>
      </c>
    </row>
    <row r="818" spans="1:20">
      <c r="A818" s="379" t="s">
        <v>168</v>
      </c>
      <c r="B818" s="374">
        <f t="shared" si="264"/>
        <v>1.8571428571428572</v>
      </c>
      <c r="C818" s="375">
        <f t="shared" si="265"/>
        <v>0.8820588235294119</v>
      </c>
      <c r="D818" s="376">
        <f t="shared" si="266"/>
        <v>0.97508403361344531</v>
      </c>
      <c r="E818" s="389">
        <f t="shared" si="267"/>
        <v>1.016</v>
      </c>
      <c r="F818" s="375">
        <f t="shared" si="268"/>
        <v>14.302411764705884</v>
      </c>
      <c r="G818" s="371" t="str">
        <f t="shared" si="269"/>
        <v>yes</v>
      </c>
      <c r="H818" s="376">
        <f t="shared" si="270"/>
        <v>0.54707692307692302</v>
      </c>
      <c r="I818" s="389">
        <f t="shared" si="271"/>
        <v>1.016</v>
      </c>
      <c r="J818" s="375">
        <f t="shared" si="272"/>
        <v>12.676811764705883</v>
      </c>
      <c r="K818" s="313" t="str">
        <f t="shared" si="273"/>
        <v>no</v>
      </c>
      <c r="L818" s="377">
        <f t="shared" si="274"/>
        <v>11.864011764705882</v>
      </c>
      <c r="M818" s="375">
        <f t="shared" si="275"/>
        <v>0.47956796679230612</v>
      </c>
      <c r="N818" s="375">
        <f t="shared" si="276"/>
        <v>0.37336443083928561</v>
      </c>
      <c r="O818" s="412">
        <f t="shared" si="277"/>
        <v>0.98</v>
      </c>
      <c r="P818" s="377">
        <f t="shared" si="278"/>
        <v>14.014411764705883</v>
      </c>
      <c r="Q818" s="398" t="str">
        <f t="shared" si="279"/>
        <v>no</v>
      </c>
      <c r="R818" s="377">
        <f t="shared" si="280"/>
        <v>13.034411764705883</v>
      </c>
      <c r="S818" s="375">
        <f t="shared" si="281"/>
        <v>0.52629916284947087</v>
      </c>
      <c r="T818" s="413">
        <f t="shared" si="282"/>
        <v>0.42963196967303746</v>
      </c>
    </row>
    <row r="819" spans="1:20">
      <c r="A819" s="379" t="s">
        <v>21</v>
      </c>
      <c r="B819" s="374">
        <f t="shared" si="264"/>
        <v>2.1666666666666665</v>
      </c>
      <c r="C819" s="375">
        <f t="shared" si="265"/>
        <v>1.0238666666666671</v>
      </c>
      <c r="D819" s="376">
        <f t="shared" si="266"/>
        <v>1.1427999999999994</v>
      </c>
      <c r="E819" s="389">
        <f t="shared" si="267"/>
        <v>1.27</v>
      </c>
      <c r="F819" s="375">
        <f t="shared" si="268"/>
        <v>15.033200000000004</v>
      </c>
      <c r="G819" s="371" t="str">
        <f t="shared" si="269"/>
        <v>yes</v>
      </c>
      <c r="H819" s="376">
        <f t="shared" si="270"/>
        <v>0.58615384615384625</v>
      </c>
      <c r="I819" s="389">
        <f t="shared" si="271"/>
        <v>1.27</v>
      </c>
      <c r="J819" s="375">
        <f t="shared" si="272"/>
        <v>13.255200000000002</v>
      </c>
      <c r="K819" s="313" t="str">
        <f t="shared" si="273"/>
        <v>no</v>
      </c>
      <c r="L819" s="377">
        <f t="shared" si="274"/>
        <v>12.239200000000004</v>
      </c>
      <c r="M819" s="375">
        <f t="shared" si="275"/>
        <v>0.49807176939669245</v>
      </c>
      <c r="N819" s="375">
        <f t="shared" si="276"/>
        <v>0.40983070788940446</v>
      </c>
      <c r="O819" s="412">
        <f t="shared" si="277"/>
        <v>1.1399999999999999</v>
      </c>
      <c r="P819" s="377">
        <f t="shared" si="278"/>
        <v>14.123200000000002</v>
      </c>
      <c r="Q819" s="398" t="str">
        <f t="shared" si="279"/>
        <v>no</v>
      </c>
      <c r="R819" s="377">
        <f t="shared" si="280"/>
        <v>12.983200000000004</v>
      </c>
      <c r="S819" s="375">
        <f t="shared" si="281"/>
        <v>0.5268346786616549</v>
      </c>
      <c r="T819" s="413">
        <f t="shared" si="282"/>
        <v>0.44365025571507782</v>
      </c>
    </row>
    <row r="820" spans="1:20">
      <c r="A820" s="379" t="s">
        <v>243</v>
      </c>
      <c r="B820" s="374">
        <f t="shared" si="264"/>
        <v>2.1666666666666665</v>
      </c>
      <c r="C820" s="375">
        <f t="shared" si="265"/>
        <v>1.0264473684210529</v>
      </c>
      <c r="D820" s="376">
        <f t="shared" si="266"/>
        <v>1.1402192982456136</v>
      </c>
      <c r="E820" s="389">
        <f t="shared" si="267"/>
        <v>1.27</v>
      </c>
      <c r="F820" s="375">
        <f t="shared" si="268"/>
        <v>15.048684210526318</v>
      </c>
      <c r="G820" s="371" t="str">
        <f t="shared" si="269"/>
        <v>yes</v>
      </c>
      <c r="H820" s="376">
        <f t="shared" si="270"/>
        <v>0.58615384615384625</v>
      </c>
      <c r="I820" s="389">
        <f t="shared" si="271"/>
        <v>1.27</v>
      </c>
      <c r="J820" s="375">
        <f t="shared" si="272"/>
        <v>13.270684210526317</v>
      </c>
      <c r="K820" s="313" t="str">
        <f t="shared" si="273"/>
        <v>no</v>
      </c>
      <c r="L820" s="377">
        <f t="shared" si="274"/>
        <v>12.254684210526317</v>
      </c>
      <c r="M820" s="375">
        <f t="shared" si="275"/>
        <v>0.49744243876670141</v>
      </c>
      <c r="N820" s="375">
        <f t="shared" si="276"/>
        <v>0.4093128728434669</v>
      </c>
      <c r="O820" s="412">
        <f t="shared" si="277"/>
        <v>1.1399999999999999</v>
      </c>
      <c r="P820" s="377">
        <f t="shared" si="278"/>
        <v>14.138684210526318</v>
      </c>
      <c r="Q820" s="398" t="str">
        <f t="shared" si="279"/>
        <v>no</v>
      </c>
      <c r="R820" s="377">
        <f t="shared" si="280"/>
        <v>12.998684210526315</v>
      </c>
      <c r="S820" s="375">
        <f t="shared" si="281"/>
        <v>0.52620710598238685</v>
      </c>
      <c r="T820" s="413">
        <f t="shared" si="282"/>
        <v>0.44312177345885212</v>
      </c>
    </row>
    <row r="821" spans="1:20">
      <c r="A821" s="379" t="s">
        <v>22</v>
      </c>
      <c r="B821" s="374">
        <f t="shared" si="264"/>
        <v>2.6</v>
      </c>
      <c r="C821" s="375">
        <f t="shared" si="265"/>
        <v>1.3200793650793656</v>
      </c>
      <c r="D821" s="376">
        <f t="shared" si="266"/>
        <v>1.2799206349206345</v>
      </c>
      <c r="E821" s="389">
        <f t="shared" si="267"/>
        <v>1.27</v>
      </c>
      <c r="F821" s="375">
        <f t="shared" si="268"/>
        <v>14.220396825396829</v>
      </c>
      <c r="G821" s="313" t="str">
        <f t="shared" si="269"/>
        <v>no</v>
      </c>
      <c r="H821" s="376">
        <f t="shared" si="270"/>
        <v>0.48846153846153845</v>
      </c>
      <c r="I821" s="389">
        <f t="shared" si="271"/>
        <v>1.27</v>
      </c>
      <c r="J821" s="375">
        <f t="shared" si="272"/>
        <v>12.696396825396828</v>
      </c>
      <c r="K821" s="313" t="str">
        <f t="shared" si="273"/>
        <v>no</v>
      </c>
      <c r="L821" s="377">
        <f t="shared" si="274"/>
        <v>11.680396825396828</v>
      </c>
      <c r="M821" s="375">
        <f t="shared" si="275"/>
        <v>0.43491673065032299</v>
      </c>
      <c r="N821" s="375">
        <f t="shared" si="276"/>
        <v>0.35786455396030514</v>
      </c>
      <c r="O821" s="412">
        <f t="shared" si="277"/>
        <v>1.28</v>
      </c>
      <c r="P821" s="377">
        <f t="shared" si="278"/>
        <v>14.280396825396828</v>
      </c>
      <c r="Q821" s="398" t="str">
        <f t="shared" si="279"/>
        <v>no</v>
      </c>
      <c r="R821" s="377">
        <f t="shared" si="280"/>
        <v>13.00039682539683</v>
      </c>
      <c r="S821" s="375">
        <f t="shared" si="281"/>
        <v>0.49229266505906399</v>
      </c>
      <c r="T821" s="413">
        <f t="shared" si="282"/>
        <v>0.42306400903513314</v>
      </c>
    </row>
    <row r="822" spans="1:20">
      <c r="A822" s="379" t="s">
        <v>244</v>
      </c>
      <c r="B822" s="374">
        <f t="shared" si="264"/>
        <v>2.6</v>
      </c>
      <c r="C822" s="375">
        <f t="shared" si="265"/>
        <v>1.2821428571428577</v>
      </c>
      <c r="D822" s="376">
        <f t="shared" si="266"/>
        <v>1.3178571428571424</v>
      </c>
      <c r="E822" s="389">
        <f t="shared" si="267"/>
        <v>1.27</v>
      </c>
      <c r="F822" s="375">
        <f t="shared" si="268"/>
        <v>14.030714285714289</v>
      </c>
      <c r="G822" s="313" t="str">
        <f t="shared" si="269"/>
        <v>no</v>
      </c>
      <c r="H822" s="376">
        <f t="shared" si="270"/>
        <v>0.48846153846153845</v>
      </c>
      <c r="I822" s="389">
        <f t="shared" si="271"/>
        <v>1.27</v>
      </c>
      <c r="J822" s="375">
        <f t="shared" si="272"/>
        <v>12.506714285714288</v>
      </c>
      <c r="K822" s="313" t="str">
        <f t="shared" si="273"/>
        <v>no</v>
      </c>
      <c r="L822" s="377">
        <f t="shared" si="274"/>
        <v>11.490714285714287</v>
      </c>
      <c r="M822" s="375">
        <f t="shared" si="275"/>
        <v>0.44209610244296632</v>
      </c>
      <c r="N822" s="375">
        <f t="shared" si="276"/>
        <v>0.36377198980543296</v>
      </c>
      <c r="O822" s="412">
        <f t="shared" si="277"/>
        <v>1.32</v>
      </c>
      <c r="P822" s="377">
        <f t="shared" si="278"/>
        <v>14.330714285714288</v>
      </c>
      <c r="Q822" s="398" t="str">
        <f t="shared" si="279"/>
        <v>no</v>
      </c>
      <c r="R822" s="377">
        <f t="shared" si="280"/>
        <v>13.01071428571429</v>
      </c>
      <c r="S822" s="375">
        <f t="shared" si="281"/>
        <v>0.50727422454021398</v>
      </c>
      <c r="T822" s="413">
        <f t="shared" si="282"/>
        <v>0.43810046664836666</v>
      </c>
    </row>
    <row r="823" spans="1:20">
      <c r="A823" s="379" t="s">
        <v>24</v>
      </c>
      <c r="B823" s="374">
        <f t="shared" si="264"/>
        <v>3.25</v>
      </c>
      <c r="C823" s="375">
        <f t="shared" si="265"/>
        <v>1.5420833333333335</v>
      </c>
      <c r="D823" s="376">
        <f t="shared" si="266"/>
        <v>1.7079166666666665</v>
      </c>
      <c r="E823" s="389">
        <f t="shared" si="267"/>
        <v>1.5874999999999999</v>
      </c>
      <c r="F823" s="375">
        <f t="shared" si="268"/>
        <v>14.105833333333333</v>
      </c>
      <c r="G823" s="313" t="str">
        <f t="shared" si="269"/>
        <v>no</v>
      </c>
      <c r="H823" s="376">
        <f t="shared" si="270"/>
        <v>0.48846153846153845</v>
      </c>
      <c r="I823" s="389">
        <f t="shared" si="271"/>
        <v>1.5874999999999999</v>
      </c>
      <c r="J823" s="375">
        <f t="shared" si="272"/>
        <v>12.518333333333334</v>
      </c>
      <c r="K823" s="313" t="str">
        <f t="shared" si="273"/>
        <v>no</v>
      </c>
      <c r="L823" s="377">
        <f t="shared" si="274"/>
        <v>11.248333333333335</v>
      </c>
      <c r="M823" s="375">
        <f t="shared" si="275"/>
        <v>0.45162246258704986</v>
      </c>
      <c r="N823" s="375">
        <f t="shared" si="276"/>
        <v>0.38761297970069636</v>
      </c>
      <c r="O823" s="412">
        <f t="shared" si="277"/>
        <v>1.71</v>
      </c>
      <c r="P823" s="377">
        <f t="shared" si="278"/>
        <v>14.718333333333334</v>
      </c>
      <c r="Q823" s="398" t="str">
        <f t="shared" si="279"/>
        <v>no</v>
      </c>
      <c r="R823" s="377">
        <f t="shared" si="280"/>
        <v>13.008333333333333</v>
      </c>
      <c r="S823" s="375">
        <f t="shared" si="281"/>
        <v>0.52581678411274824</v>
      </c>
      <c r="T823" s="413">
        <f t="shared" si="282"/>
        <v>0.47046764894298532</v>
      </c>
    </row>
    <row r="824" spans="1:20">
      <c r="A824" s="379" t="s">
        <v>26</v>
      </c>
      <c r="B824" s="374">
        <f t="shared" si="264"/>
        <v>4.333333333333333</v>
      </c>
      <c r="C824" s="375">
        <f t="shared" si="265"/>
        <v>1.9881249999999993</v>
      </c>
      <c r="D824" s="376">
        <f t="shared" si="266"/>
        <v>2.3452083333333338</v>
      </c>
      <c r="E824" s="389">
        <f t="shared" si="267"/>
        <v>2.2859999999999996</v>
      </c>
      <c r="F824" s="375">
        <f t="shared" si="268"/>
        <v>15.108374999999995</v>
      </c>
      <c r="G824" s="313" t="str">
        <f t="shared" si="269"/>
        <v>no</v>
      </c>
      <c r="H824" s="376">
        <f t="shared" si="270"/>
        <v>0.52753846153846151</v>
      </c>
      <c r="I824" s="389">
        <f t="shared" si="271"/>
        <v>2.2859999999999996</v>
      </c>
      <c r="J824" s="375">
        <f t="shared" si="272"/>
        <v>12.314374999999998</v>
      </c>
      <c r="K824" s="313" t="str">
        <f t="shared" si="273"/>
        <v>no</v>
      </c>
      <c r="L824" s="377">
        <f t="shared" si="274"/>
        <v>10.726874999999998</v>
      </c>
      <c r="M824" s="375">
        <f t="shared" si="275"/>
        <v>0.44397832546757565</v>
      </c>
      <c r="N824" s="375">
        <f t="shared" si="276"/>
        <v>0.39363747596574034</v>
      </c>
      <c r="O824" s="412">
        <f t="shared" si="277"/>
        <v>2.35</v>
      </c>
      <c r="P824" s="377">
        <f t="shared" si="278"/>
        <v>15.364374999999999</v>
      </c>
      <c r="Q824" s="398" t="str">
        <f t="shared" si="279"/>
        <v>no</v>
      </c>
      <c r="R824" s="377">
        <f t="shared" si="280"/>
        <v>13.014374999999999</v>
      </c>
      <c r="S824" s="375">
        <f t="shared" si="281"/>
        <v>0.54170868750900447</v>
      </c>
      <c r="T824" s="413">
        <f t="shared" si="282"/>
        <v>0.50021610718916587</v>
      </c>
    </row>
    <row r="825" spans="1:20">
      <c r="A825" s="379" t="s">
        <v>239</v>
      </c>
      <c r="B825" s="374">
        <f t="shared" si="264"/>
        <v>6.5</v>
      </c>
      <c r="C825" s="375">
        <f t="shared" si="265"/>
        <v>3.4239393939393925</v>
      </c>
      <c r="D825" s="376">
        <f t="shared" si="266"/>
        <v>3.0760606060606075</v>
      </c>
      <c r="E825" s="389">
        <f t="shared" si="267"/>
        <v>3.1749999999999998</v>
      </c>
      <c r="F825" s="375">
        <f t="shared" si="268"/>
        <v>16.372878787878783</v>
      </c>
      <c r="G825" s="313" t="str">
        <f t="shared" si="269"/>
        <v>no</v>
      </c>
      <c r="H825" s="376">
        <f t="shared" si="270"/>
        <v>0.48846153846153845</v>
      </c>
      <c r="I825" s="389">
        <f t="shared" si="271"/>
        <v>3.1749999999999998</v>
      </c>
      <c r="J825" s="375">
        <f t="shared" si="272"/>
        <v>12.943878787878784</v>
      </c>
      <c r="K825" s="313" t="str">
        <f t="shared" si="273"/>
        <v>no</v>
      </c>
      <c r="L825" s="377">
        <f t="shared" si="274"/>
        <v>10.911878787878784</v>
      </c>
      <c r="M825" s="375">
        <f t="shared" si="275"/>
        <v>0.37243815469380059</v>
      </c>
      <c r="N825" s="375">
        <f t="shared" si="276"/>
        <v>0.33944658587249937</v>
      </c>
      <c r="O825" s="412">
        <f t="shared" si="277"/>
        <v>3.08</v>
      </c>
      <c r="P825" s="377">
        <f t="shared" si="278"/>
        <v>16.087878787878786</v>
      </c>
      <c r="Q825" s="398" t="str">
        <f t="shared" si="279"/>
        <v>no</v>
      </c>
      <c r="R825" s="377">
        <f t="shared" si="280"/>
        <v>13.007878787878784</v>
      </c>
      <c r="S825" s="375">
        <f t="shared" si="281"/>
        <v>0.47355914830172868</v>
      </c>
      <c r="T825" s="413">
        <f t="shared" si="282"/>
        <v>0.44588361366071855</v>
      </c>
    </row>
    <row r="826" spans="1:20">
      <c r="A826" s="379" t="s">
        <v>89</v>
      </c>
      <c r="B826" s="374">
        <f t="shared" si="264"/>
        <v>13</v>
      </c>
      <c r="C826" s="375">
        <f t="shared" si="265"/>
        <v>6.6453333333333324</v>
      </c>
      <c r="D826" s="376">
        <f t="shared" si="266"/>
        <v>6.3546666666666676</v>
      </c>
      <c r="E826" s="389">
        <f t="shared" si="267"/>
        <v>6.35</v>
      </c>
      <c r="F826" s="375">
        <f t="shared" si="268"/>
        <v>13.630333333333331</v>
      </c>
      <c r="G826" s="313" t="str">
        <f t="shared" si="269"/>
        <v>no</v>
      </c>
      <c r="H826" s="376">
        <f t="shared" si="270"/>
        <v>0.48846153846153845</v>
      </c>
      <c r="I826" s="389">
        <f t="shared" si="271"/>
        <v>6.35</v>
      </c>
      <c r="J826" s="375">
        <f t="shared" si="272"/>
        <v>13.50333333333333</v>
      </c>
      <c r="K826" s="313" t="str">
        <f t="shared" si="273"/>
        <v>no</v>
      </c>
      <c r="L826" s="377">
        <f t="shared" si="274"/>
        <v>12.995333333333331</v>
      </c>
      <c r="M826" s="375">
        <f t="shared" si="275"/>
        <v>0.48863694659621409</v>
      </c>
      <c r="N826" s="375">
        <f t="shared" si="276"/>
        <v>0.47478582055096707</v>
      </c>
      <c r="O826" s="412">
        <f t="shared" si="277"/>
        <v>6.35</v>
      </c>
      <c r="P826" s="377">
        <f t="shared" si="278"/>
        <v>13.605333333333331</v>
      </c>
      <c r="Q826" s="398" t="str">
        <f t="shared" si="279"/>
        <v>no</v>
      </c>
      <c r="R826" s="377">
        <f t="shared" si="280"/>
        <v>12.995333333333331</v>
      </c>
      <c r="S826" s="375">
        <f t="shared" si="281"/>
        <v>0.48863694659621409</v>
      </c>
      <c r="T826" s="413">
        <f t="shared" si="282"/>
        <v>0.47478582055096707</v>
      </c>
    </row>
    <row r="827" spans="1:20">
      <c r="A827" s="380" t="s">
        <v>245</v>
      </c>
      <c r="B827" s="381">
        <f t="shared" si="264"/>
        <v>13</v>
      </c>
      <c r="C827" s="382">
        <f t="shared" si="265"/>
        <v>6.7025000000000006</v>
      </c>
      <c r="D827" s="383">
        <f t="shared" si="266"/>
        <v>6.2974999999999994</v>
      </c>
      <c r="E827" s="390">
        <f t="shared" si="267"/>
        <v>6.35</v>
      </c>
      <c r="F827" s="382">
        <f t="shared" si="268"/>
        <v>13.6875</v>
      </c>
      <c r="G827" s="372" t="str">
        <f t="shared" si="269"/>
        <v>yes</v>
      </c>
      <c r="H827" s="383">
        <f t="shared" si="270"/>
        <v>0.48846153846153845</v>
      </c>
      <c r="I827" s="390">
        <f t="shared" si="271"/>
        <v>6.35</v>
      </c>
      <c r="J827" s="382">
        <f t="shared" si="272"/>
        <v>13.560500000000001</v>
      </c>
      <c r="K827" s="372" t="str">
        <f t="shared" si="273"/>
        <v>yes</v>
      </c>
      <c r="L827" s="384">
        <f t="shared" si="274"/>
        <v>13.0525</v>
      </c>
      <c r="M827" s="385">
        <f t="shared" si="275"/>
        <v>0.48649683968588392</v>
      </c>
      <c r="N827" s="385">
        <f t="shared" si="276"/>
        <v>0.47270637808848875</v>
      </c>
      <c r="O827" s="412">
        <f t="shared" si="277"/>
        <v>6.3</v>
      </c>
      <c r="P827" s="387">
        <f t="shared" si="278"/>
        <v>13.612500000000001</v>
      </c>
      <c r="Q827" s="342" t="str">
        <f t="shared" si="279"/>
        <v>yes</v>
      </c>
      <c r="R827" s="387">
        <f t="shared" si="280"/>
        <v>13.002500000000001</v>
      </c>
      <c r="S827" s="385">
        <f t="shared" si="281"/>
        <v>0.48452220726783307</v>
      </c>
      <c r="T827" s="414">
        <f t="shared" si="282"/>
        <v>0.47067871563160929</v>
      </c>
    </row>
    <row r="828" spans="1:20">
      <c r="A828" s="78" t="s">
        <v>178</v>
      </c>
      <c r="B828" s="397"/>
      <c r="D828" s="31"/>
      <c r="E828" s="397"/>
      <c r="G828" s="762" t="s">
        <v>322</v>
      </c>
      <c r="H828" s="762"/>
      <c r="I828" s="397"/>
      <c r="K828" s="761" t="s">
        <v>311</v>
      </c>
      <c r="L828" s="761"/>
      <c r="N828" s="11"/>
      <c r="O828" s="415"/>
      <c r="P828" s="31"/>
      <c r="Q828" s="762" t="s">
        <v>329</v>
      </c>
      <c r="R828" s="762"/>
      <c r="S828" s="11"/>
      <c r="T828" s="322"/>
    </row>
    <row r="829" spans="1:20">
      <c r="B829" s="5"/>
      <c r="E829" s="5"/>
      <c r="G829" s="761" t="s">
        <v>323</v>
      </c>
      <c r="H829" s="761"/>
      <c r="I829" s="5"/>
      <c r="K829" s="761" t="s">
        <v>312</v>
      </c>
      <c r="L829" s="761"/>
      <c r="O829" s="319"/>
      <c r="P829" s="11"/>
      <c r="Q829" s="783" t="s">
        <v>330</v>
      </c>
      <c r="R829" s="783"/>
      <c r="S829" s="11"/>
      <c r="T829" s="322"/>
    </row>
    <row r="830" spans="1:20">
      <c r="B830" s="5"/>
      <c r="E830" s="5"/>
      <c r="I830" s="5"/>
      <c r="K830" s="761" t="s">
        <v>313</v>
      </c>
      <c r="L830" s="761"/>
      <c r="O830" s="319"/>
      <c r="P830" s="11"/>
      <c r="Q830" s="783"/>
      <c r="R830" s="783"/>
      <c r="S830" s="11"/>
      <c r="T830" s="322"/>
    </row>
    <row r="831" spans="1:20" ht="15.75" thickBot="1">
      <c r="B831" s="5"/>
      <c r="E831" s="5"/>
      <c r="I831" s="5"/>
      <c r="K831" s="761" t="s">
        <v>314</v>
      </c>
      <c r="L831" s="761"/>
      <c r="O831" s="418" t="s">
        <v>334</v>
      </c>
      <c r="P831" s="330"/>
      <c r="Q831" s="330"/>
      <c r="R831" s="330"/>
      <c r="S831" s="330"/>
      <c r="T831" s="417"/>
    </row>
  </sheetData>
  <sortState ref="L183:L202">
    <sortCondition ref="L181"/>
  </sortState>
  <mergeCells count="32">
    <mergeCell ref="A80:B80"/>
    <mergeCell ref="A708:B708"/>
    <mergeCell ref="K708:L708"/>
    <mergeCell ref="A738:B738"/>
    <mergeCell ref="K738:L738"/>
    <mergeCell ref="A570:B570"/>
    <mergeCell ref="A110:B110"/>
    <mergeCell ref="K831:L831"/>
    <mergeCell ref="Q828:R828"/>
    <mergeCell ref="Q829:R829"/>
    <mergeCell ref="Q830:R830"/>
    <mergeCell ref="G828:H828"/>
    <mergeCell ref="G829:H829"/>
    <mergeCell ref="K828:L828"/>
    <mergeCell ref="K829:L829"/>
    <mergeCell ref="K830:L830"/>
    <mergeCell ref="A38:E38"/>
    <mergeCell ref="A642:B642"/>
    <mergeCell ref="P642:Q642"/>
    <mergeCell ref="A674:B674"/>
    <mergeCell ref="P674:Q674"/>
    <mergeCell ref="A609:B609"/>
    <mergeCell ref="A603:N603"/>
    <mergeCell ref="A536:B536"/>
    <mergeCell ref="A380:B380"/>
    <mergeCell ref="A407:B407"/>
    <mergeCell ref="A440:B440"/>
    <mergeCell ref="A467:B467"/>
    <mergeCell ref="A147:B147"/>
    <mergeCell ref="A211:B211"/>
    <mergeCell ref="A178:B178"/>
    <mergeCell ref="A246:B246"/>
  </mergeCells>
  <pageMargins left="0.7" right="0.7" top="0.75" bottom="0.75" header="0.3" footer="0.3"/>
  <pageSetup orientation="portrait" horizontalDpi="200" verticalDpi="2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E16" sqref="E16"/>
    </sheetView>
  </sheetViews>
  <sheetFormatPr defaultRowHeight="15"/>
  <sheetData>
    <row r="1" spans="1:1">
      <c r="A1" t="s">
        <v>224</v>
      </c>
    </row>
    <row r="2" spans="1:1">
      <c r="A2" t="s">
        <v>225</v>
      </c>
    </row>
    <row r="3" spans="1:1">
      <c r="A3" t="s">
        <v>396</v>
      </c>
    </row>
    <row r="5" spans="1:1" s="57" customFormat="1"/>
    <row r="6" spans="1:1" s="57" customFormat="1"/>
    <row r="7" spans="1:1" s="57" customFormat="1" ht="21">
      <c r="A7" s="526" t="s">
        <v>527</v>
      </c>
    </row>
    <row r="8" spans="1:1" s="57" customFormat="1"/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3:K30"/>
  <sheetViews>
    <sheetView topLeftCell="A10" workbookViewId="0">
      <selection activeCell="D12" sqref="D12:D30"/>
    </sheetView>
  </sheetViews>
  <sheetFormatPr defaultRowHeight="15"/>
  <sheetData>
    <row r="3" spans="1:11">
      <c r="A3" t="s">
        <v>378</v>
      </c>
    </row>
    <row r="4" spans="1:11">
      <c r="A4" t="s">
        <v>375</v>
      </c>
    </row>
    <row r="6" spans="1:11">
      <c r="A6" t="s">
        <v>380</v>
      </c>
    </row>
    <row r="7" spans="1:11">
      <c r="A7" t="s">
        <v>112</v>
      </c>
      <c r="B7" t="s">
        <v>113</v>
      </c>
    </row>
    <row r="8" spans="1:11">
      <c r="A8">
        <v>1E-3</v>
      </c>
      <c r="B8">
        <f>A8*25.4</f>
        <v>2.5399999999999999E-2</v>
      </c>
    </row>
    <row r="10" spans="1:11">
      <c r="A10" t="s">
        <v>376</v>
      </c>
      <c r="B10" t="s">
        <v>377</v>
      </c>
      <c r="C10" t="s">
        <v>379</v>
      </c>
      <c r="E10" t="s">
        <v>384</v>
      </c>
      <c r="F10" t="s">
        <v>384</v>
      </c>
      <c r="G10" t="s">
        <v>204</v>
      </c>
      <c r="H10" t="s">
        <v>204</v>
      </c>
      <c r="K10" t="s">
        <v>178</v>
      </c>
    </row>
    <row r="11" spans="1:11">
      <c r="B11" t="s">
        <v>133</v>
      </c>
      <c r="C11" t="s">
        <v>133</v>
      </c>
      <c r="E11" t="s">
        <v>133</v>
      </c>
      <c r="F11" t="s">
        <v>348</v>
      </c>
      <c r="G11" t="s">
        <v>133</v>
      </c>
      <c r="H11" t="s">
        <v>348</v>
      </c>
    </row>
    <row r="12" spans="1:11">
      <c r="B12" t="s">
        <v>113</v>
      </c>
      <c r="C12" t="s">
        <v>113</v>
      </c>
      <c r="D12" t="s">
        <v>112</v>
      </c>
      <c r="E12" t="s">
        <v>113</v>
      </c>
      <c r="F12" t="s">
        <v>113</v>
      </c>
      <c r="G12" t="s">
        <v>113</v>
      </c>
      <c r="H12" t="s">
        <v>113</v>
      </c>
      <c r="I12" t="s">
        <v>112</v>
      </c>
    </row>
    <row r="14" spans="1:11">
      <c r="A14" t="s">
        <v>6</v>
      </c>
      <c r="B14" s="17">
        <f>MIN(A!$E$12:$I$65)</f>
        <v>0.36</v>
      </c>
      <c r="C14" s="17">
        <f>B14-$B$8</f>
        <v>0.33460000000000001</v>
      </c>
      <c r="D14" s="312">
        <f>C14/25.4</f>
        <v>1.3173228346456694E-2</v>
      </c>
      <c r="E14" s="17">
        <f>MAX(A!$E$12:$I$65)</f>
        <v>0.4</v>
      </c>
      <c r="F14" s="17">
        <f t="shared" ref="F14:F30" si="0">E14-C14</f>
        <v>6.5400000000000014E-2</v>
      </c>
      <c r="G14" s="17">
        <f>AVERAGE(A!$E$12:$I$65)</f>
        <v>0.38399999999999984</v>
      </c>
      <c r="H14" s="17">
        <f t="shared" ref="H14:H30" si="1">G14-C14</f>
        <v>4.9399999999999833E-2</v>
      </c>
      <c r="I14" s="312">
        <f>H14/25.4</f>
        <v>1.9448818897637732E-3</v>
      </c>
    </row>
    <row r="15" spans="1:11">
      <c r="A15" t="s">
        <v>164</v>
      </c>
      <c r="B15" s="17">
        <f>MIN(As!$E$12:$G$40)</f>
        <v>0.36</v>
      </c>
      <c r="C15" s="17">
        <f t="shared" ref="C15:C30" si="2">B15-$B$8</f>
        <v>0.33460000000000001</v>
      </c>
      <c r="D15" s="312">
        <f t="shared" ref="D15:D30" si="3">C15/25.4</f>
        <v>1.3173228346456694E-2</v>
      </c>
      <c r="E15" s="17">
        <f>MAX(As!$E$12:$G$40)</f>
        <v>0.39</v>
      </c>
      <c r="F15" s="17">
        <f t="shared" si="0"/>
        <v>5.5400000000000005E-2</v>
      </c>
      <c r="G15" s="17">
        <f>AVERAGE(As!$E$12:$G$40)</f>
        <v>0.38482758620689661</v>
      </c>
      <c r="H15" s="17">
        <f t="shared" si="1"/>
        <v>5.0227586206896602E-2</v>
      </c>
      <c r="I15" s="312">
        <f t="shared" ref="I15:I30" si="4">H15/25.4</f>
        <v>1.9774640238935672E-3</v>
      </c>
    </row>
    <row r="16" spans="1:11">
      <c r="A16" t="s">
        <v>9</v>
      </c>
      <c r="B16" s="17">
        <f>MIN(B!$E$12:$I$165)</f>
        <v>0.47</v>
      </c>
      <c r="C16" s="17">
        <f t="shared" si="2"/>
        <v>0.4446</v>
      </c>
      <c r="D16" s="312">
        <f t="shared" si="3"/>
        <v>1.7503937007874018E-2</v>
      </c>
      <c r="E16" s="17">
        <f>MAX(B!$E$12:$I$165)</f>
        <v>0.52</v>
      </c>
      <c r="F16" s="17">
        <f t="shared" si="0"/>
        <v>7.5400000000000023E-2</v>
      </c>
      <c r="G16" s="17">
        <f>AVERAGE(B!$E$12:$I$165)</f>
        <v>0.50045454545454471</v>
      </c>
      <c r="H16" s="17">
        <f t="shared" si="1"/>
        <v>5.5854545454544713E-2</v>
      </c>
      <c r="I16" s="312">
        <f t="shared" si="4"/>
        <v>2.1989978525411304E-3</v>
      </c>
    </row>
    <row r="17" spans="1:11">
      <c r="A17" t="s">
        <v>165</v>
      </c>
      <c r="B17" s="30">
        <f>MIN(Bs!$E$12:$I$48)</f>
        <v>0.49</v>
      </c>
      <c r="C17" s="17">
        <f t="shared" si="2"/>
        <v>0.46460000000000001</v>
      </c>
      <c r="D17" s="312">
        <f t="shared" si="3"/>
        <v>1.8291338582677168E-2</v>
      </c>
      <c r="E17" s="30">
        <f>MAX(Bs!$E$12:$I$48)</f>
        <v>0.54</v>
      </c>
      <c r="F17" s="17">
        <f t="shared" si="0"/>
        <v>7.5400000000000023E-2</v>
      </c>
      <c r="G17" s="17">
        <f>AVERAGE(Bs!$E$12:$I$48)</f>
        <v>0.51437837837837885</v>
      </c>
      <c r="H17" s="17">
        <f t="shared" si="1"/>
        <v>4.977837837837884E-2</v>
      </c>
      <c r="I17" s="312">
        <f t="shared" si="4"/>
        <v>1.9597786763141277E-3</v>
      </c>
    </row>
    <row r="18" spans="1:11">
      <c r="A18" t="s">
        <v>11</v>
      </c>
      <c r="B18">
        <f>MIN('C'!$E$12:$J$41)</f>
        <v>0.6</v>
      </c>
      <c r="C18" s="17">
        <f t="shared" si="2"/>
        <v>0.5746</v>
      </c>
      <c r="D18" s="312">
        <f t="shared" si="3"/>
        <v>2.262204724409449E-2</v>
      </c>
      <c r="E18">
        <f>MAX('C'!$E$12:$J$41)</f>
        <v>0.66</v>
      </c>
      <c r="F18" s="17">
        <f t="shared" si="0"/>
        <v>8.5400000000000031E-2</v>
      </c>
      <c r="G18" s="17">
        <f>AVERAGE('C'!$E$12:$J$41)</f>
        <v>0.6309444444444442</v>
      </c>
      <c r="H18" s="17">
        <f t="shared" si="1"/>
        <v>5.6344444444444197E-2</v>
      </c>
      <c r="I18" s="312">
        <f t="shared" si="4"/>
        <v>2.2182852143481967E-3</v>
      </c>
    </row>
    <row r="19" spans="1:11">
      <c r="A19" t="s">
        <v>13</v>
      </c>
      <c r="B19">
        <f>MIN(D!$E$12:$J$53)</f>
        <v>0.73</v>
      </c>
      <c r="C19" s="17">
        <f t="shared" si="2"/>
        <v>0.7046</v>
      </c>
      <c r="D19" s="312">
        <f t="shared" si="3"/>
        <v>2.7740157480314963E-2</v>
      </c>
      <c r="E19">
        <f>MAX(D!$E$12:$J$53)</f>
        <v>0.8</v>
      </c>
      <c r="F19" s="17">
        <f t="shared" si="0"/>
        <v>9.540000000000004E-2</v>
      </c>
      <c r="G19" s="17">
        <f>AVERAGE(D!$E$12:$J$53)</f>
        <v>0.76773809523809533</v>
      </c>
      <c r="H19" s="17">
        <f t="shared" si="1"/>
        <v>6.3138095238095326E-2</v>
      </c>
      <c r="I19" s="312">
        <f t="shared" si="4"/>
        <v>2.4857517810273752E-3</v>
      </c>
    </row>
    <row r="20" spans="1:11">
      <c r="A20" t="s">
        <v>15</v>
      </c>
      <c r="B20">
        <f>MIN(E!$E$12:$J$48)</f>
        <v>0.85</v>
      </c>
      <c r="C20" s="17">
        <f t="shared" si="2"/>
        <v>0.8246</v>
      </c>
      <c r="D20" s="312">
        <f t="shared" si="3"/>
        <v>3.246456692913386E-2</v>
      </c>
      <c r="E20">
        <f>MAX(E!$E$12:$J$48)</f>
        <v>0.93</v>
      </c>
      <c r="F20" s="17">
        <f t="shared" si="0"/>
        <v>0.10540000000000005</v>
      </c>
      <c r="G20" s="17">
        <f>AVERAGE(E!$E$12:$J$48)</f>
        <v>0.89288288288288087</v>
      </c>
      <c r="H20" s="17">
        <f t="shared" si="1"/>
        <v>6.8282882882880869E-2</v>
      </c>
      <c r="I20" s="312">
        <f t="shared" si="4"/>
        <v>2.6883024757039715E-3</v>
      </c>
    </row>
    <row r="21" spans="1:11">
      <c r="A21" t="s">
        <v>166</v>
      </c>
      <c r="B21" s="17">
        <f>MIN(Es!$E$12:$H$28)</f>
        <v>0.85</v>
      </c>
      <c r="C21" s="17">
        <f t="shared" si="2"/>
        <v>0.8246</v>
      </c>
      <c r="D21" s="312">
        <f t="shared" si="3"/>
        <v>3.246456692913386E-2</v>
      </c>
      <c r="E21" s="17">
        <f>MAX(Es!$E$12:$H$28)</f>
        <v>0.91</v>
      </c>
      <c r="F21" s="17">
        <f t="shared" si="0"/>
        <v>8.5400000000000031E-2</v>
      </c>
      <c r="G21" s="17">
        <f>AVERAGE(Es!$E$12:$H$28)</f>
        <v>0.8820588235294119</v>
      </c>
      <c r="H21" s="17">
        <f t="shared" si="1"/>
        <v>5.7458823529411895E-2</v>
      </c>
      <c r="I21" s="312">
        <f t="shared" si="4"/>
        <v>2.2621584066697597E-3</v>
      </c>
    </row>
    <row r="22" spans="1:11">
      <c r="A22" t="s">
        <v>17</v>
      </c>
      <c r="B22" s="17">
        <f>MIN(F!$E$13:$J$26,F!$E$28:$J$36)</f>
        <v>0.99</v>
      </c>
      <c r="C22" s="17">
        <f t="shared" si="2"/>
        <v>0.96460000000000001</v>
      </c>
      <c r="D22" s="312">
        <f t="shared" si="3"/>
        <v>3.7976377952755908E-2</v>
      </c>
      <c r="E22" s="17">
        <f>MAX(F!$E$13:$J$26,F!$E$28:$J$36)</f>
        <v>1.07</v>
      </c>
      <c r="F22" s="17">
        <f t="shared" si="0"/>
        <v>0.10540000000000005</v>
      </c>
      <c r="G22" s="17">
        <f>AVERAGE(F!$E$13:$J$26,F!$E$28:$J$36)</f>
        <v>1.0290579710144931</v>
      </c>
      <c r="H22" s="17">
        <f t="shared" si="1"/>
        <v>6.4457971014493132E-2</v>
      </c>
      <c r="I22" s="312">
        <f t="shared" si="4"/>
        <v>2.5377153942713832E-3</v>
      </c>
      <c r="K22" t="s">
        <v>385</v>
      </c>
    </row>
    <row r="23" spans="1:11">
      <c r="A23" t="s">
        <v>167</v>
      </c>
      <c r="B23" s="30">
        <f>MIN(Fs!$E$12:$H$30)</f>
        <v>1</v>
      </c>
      <c r="C23" s="17">
        <f t="shared" si="2"/>
        <v>0.97460000000000002</v>
      </c>
      <c r="D23" s="312">
        <f t="shared" si="3"/>
        <v>3.8370078740157486E-2</v>
      </c>
      <c r="E23" s="30">
        <f>MAX(Fs!$E$12:$H$30)</f>
        <v>1.08</v>
      </c>
      <c r="F23" s="17">
        <f t="shared" si="0"/>
        <v>0.10540000000000005</v>
      </c>
      <c r="G23" s="17">
        <f>AVERAGE(Fs!$E$12:$H$30)</f>
        <v>1.0264473684210529</v>
      </c>
      <c r="H23" s="17">
        <f t="shared" si="1"/>
        <v>5.1847368421052864E-2</v>
      </c>
      <c r="I23" s="312">
        <f t="shared" si="4"/>
        <v>2.0412349772068058E-3</v>
      </c>
    </row>
    <row r="24" spans="1:11">
      <c r="A24" t="s">
        <v>19</v>
      </c>
      <c r="B24" s="30">
        <f>MIN(G!$E$12:$J$32)</f>
        <v>1.25</v>
      </c>
      <c r="C24" s="17">
        <f t="shared" si="2"/>
        <v>1.2245999999999999</v>
      </c>
      <c r="D24" s="312">
        <f t="shared" si="3"/>
        <v>4.8212598425196852E-2</v>
      </c>
      <c r="E24" s="30">
        <f>MAX(G!$E$12:$J$32)</f>
        <v>1.38</v>
      </c>
      <c r="F24" s="17">
        <f t="shared" si="0"/>
        <v>0.15539999999999998</v>
      </c>
      <c r="G24" s="17">
        <f>AVERAGE(G!$E$12:$J$32)</f>
        <v>1.3200793650793656</v>
      </c>
      <c r="H24" s="17">
        <f t="shared" si="1"/>
        <v>9.5479365079365719E-2</v>
      </c>
      <c r="I24" s="312">
        <f t="shared" si="4"/>
        <v>3.7590301212348711E-3</v>
      </c>
    </row>
    <row r="25" spans="1:11">
      <c r="A25" t="s">
        <v>168</v>
      </c>
      <c r="B25" s="17">
        <f>MIN(Gs!$E$12:$J$25)</f>
        <v>1.25</v>
      </c>
      <c r="C25" s="17">
        <f t="shared" si="2"/>
        <v>1.2245999999999999</v>
      </c>
      <c r="D25" s="312">
        <f t="shared" si="3"/>
        <v>4.8212598425196852E-2</v>
      </c>
      <c r="E25" s="17">
        <f>MAX(Gs!$E$12:$J$25)</f>
        <v>1.31</v>
      </c>
      <c r="F25" s="17">
        <f t="shared" si="0"/>
        <v>8.5400000000000142E-2</v>
      </c>
      <c r="G25" s="17">
        <f>AVERAGE(Gs!$E$12:$J$25)</f>
        <v>1.2812068965517247</v>
      </c>
      <c r="H25" s="17">
        <f t="shared" si="1"/>
        <v>5.6606896551724795E-2</v>
      </c>
      <c r="I25" s="312">
        <f t="shared" si="4"/>
        <v>2.2286179744773543E-3</v>
      </c>
    </row>
    <row r="26" spans="1:11">
      <c r="A26" t="s">
        <v>21</v>
      </c>
      <c r="B26" s="17">
        <f>MIN(H!$E$12:$J$27)</f>
        <v>1.49</v>
      </c>
      <c r="C26" s="17">
        <f t="shared" si="2"/>
        <v>1.4645999999999999</v>
      </c>
      <c r="D26" s="312">
        <f t="shared" si="3"/>
        <v>5.7661417322834647E-2</v>
      </c>
      <c r="E26" s="17">
        <f>MAX(H!$E$12:$J$27)</f>
        <v>1.57</v>
      </c>
      <c r="F26" s="17">
        <f t="shared" si="0"/>
        <v>0.10540000000000016</v>
      </c>
      <c r="G26" s="17">
        <f>AVERAGE(H!$E$12:$J$27)</f>
        <v>1.5420833333333335</v>
      </c>
      <c r="H26" s="17">
        <f t="shared" si="1"/>
        <v>7.7483333333333571E-2</v>
      </c>
      <c r="I26" s="312">
        <f t="shared" si="4"/>
        <v>3.0505249343832116E-3</v>
      </c>
    </row>
    <row r="27" spans="1:11">
      <c r="A27" t="s">
        <v>22</v>
      </c>
      <c r="B27" s="30">
        <f>MIN(I!$E$12:$J$27)</f>
        <v>1.93</v>
      </c>
      <c r="C27" s="17">
        <f t="shared" si="2"/>
        <v>1.9045999999999998</v>
      </c>
      <c r="D27" s="312">
        <f t="shared" si="3"/>
        <v>7.4984251968503932E-2</v>
      </c>
      <c r="E27" s="30">
        <f>MAX(I!$E$12:$J$27)</f>
        <v>2.1</v>
      </c>
      <c r="F27" s="17">
        <f t="shared" si="0"/>
        <v>0.19540000000000024</v>
      </c>
      <c r="G27" s="17">
        <f>AVERAGE(I!$E$12:$J$27)</f>
        <v>1.9881249999999993</v>
      </c>
      <c r="H27" s="17">
        <f t="shared" si="1"/>
        <v>8.3524999999999405E-2</v>
      </c>
      <c r="I27" s="312">
        <f t="shared" si="4"/>
        <v>3.2883858267716303E-3</v>
      </c>
    </row>
    <row r="28" spans="1:11">
      <c r="A28" t="s">
        <v>24</v>
      </c>
      <c r="B28" s="17">
        <f>MIN(J!$E$12:$J$22)</f>
        <v>3.36</v>
      </c>
      <c r="C28" s="17">
        <f t="shared" si="2"/>
        <v>3.3346</v>
      </c>
      <c r="D28" s="312">
        <f t="shared" si="3"/>
        <v>0.13128346456692913</v>
      </c>
      <c r="E28" s="17">
        <f>MAX(J!$E$12:$J$22)</f>
        <v>3.46</v>
      </c>
      <c r="F28" s="17">
        <f t="shared" si="0"/>
        <v>0.12539999999999996</v>
      </c>
      <c r="G28" s="17">
        <f>AVERAGE(J!$E$12:$J$22)</f>
        <v>3.4239393939393925</v>
      </c>
      <c r="H28" s="17">
        <f t="shared" si="1"/>
        <v>8.9339393939392497E-2</v>
      </c>
      <c r="I28" s="312">
        <f t="shared" si="4"/>
        <v>3.5172989739918306E-3</v>
      </c>
    </row>
    <row r="29" spans="1:11">
      <c r="A29" t="s">
        <v>26</v>
      </c>
      <c r="B29" s="17">
        <f>MIN(K!E12:J12,K!F13:J13,K!E14:J14,K!E15,K!G15:I15,K!E16:J16)</f>
        <v>6.61</v>
      </c>
      <c r="C29" s="17">
        <f t="shared" si="2"/>
        <v>6.5846</v>
      </c>
      <c r="D29" s="312">
        <f t="shared" si="3"/>
        <v>0.25923622047244094</v>
      </c>
      <c r="E29" s="17">
        <f>MAX(K!$E$12:$J$16)</f>
        <v>6.72</v>
      </c>
      <c r="F29" s="17">
        <f t="shared" si="0"/>
        <v>0.13539999999999974</v>
      </c>
      <c r="G29" s="17">
        <f>AVERAGE(K!$E$12:$J$16)</f>
        <v>6.6453333333333324</v>
      </c>
      <c r="H29" s="17">
        <f t="shared" si="1"/>
        <v>6.0733333333332418E-2</v>
      </c>
      <c r="I29" s="312">
        <f t="shared" si="4"/>
        <v>2.3910761154855285E-3</v>
      </c>
      <c r="K29" t="s">
        <v>386</v>
      </c>
    </row>
    <row r="30" spans="1:11">
      <c r="A30" t="s">
        <v>169</v>
      </c>
      <c r="B30" s="17">
        <f>MIN(Ks!$E$12:$J$13)</f>
        <v>6.65</v>
      </c>
      <c r="C30" s="17">
        <f t="shared" si="2"/>
        <v>6.6246</v>
      </c>
      <c r="D30" s="312">
        <f t="shared" si="3"/>
        <v>0.26081102362204728</v>
      </c>
      <c r="E30" s="17">
        <f>MAX(Ks!$E$12:$J$13)</f>
        <v>6.74</v>
      </c>
      <c r="F30" s="17">
        <f t="shared" si="0"/>
        <v>0.11540000000000017</v>
      </c>
      <c r="G30" s="17">
        <f>AVERAGE(Ks!$E$12:$J$13)</f>
        <v>6.7025000000000006</v>
      </c>
      <c r="H30" s="17">
        <f t="shared" si="1"/>
        <v>7.7900000000000524E-2</v>
      </c>
      <c r="I30" s="312">
        <f t="shared" si="4"/>
        <v>3.0669291338582885E-3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2:L75"/>
  <sheetViews>
    <sheetView topLeftCell="A15" zoomScale="75" zoomScaleNormal="75" workbookViewId="0">
      <selection activeCell="L24" sqref="L24"/>
    </sheetView>
  </sheetViews>
  <sheetFormatPr defaultRowHeight="15"/>
  <cols>
    <col min="1" max="1" width="16.42578125" customWidth="1"/>
    <col min="2" max="2" width="16.140625" customWidth="1"/>
    <col min="3" max="3" width="18.5703125" customWidth="1"/>
    <col min="4" max="4" width="15.140625" customWidth="1"/>
    <col min="5" max="5" width="13.28515625" customWidth="1"/>
    <col min="6" max="6" width="12.140625" customWidth="1"/>
    <col min="7" max="8" width="8" customWidth="1"/>
    <col min="9" max="9" width="17.7109375" bestFit="1" customWidth="1"/>
    <col min="10" max="10" width="10.5703125" customWidth="1"/>
    <col min="11" max="11" width="13.28515625" bestFit="1" customWidth="1"/>
    <col min="12" max="12" width="17.140625" customWidth="1"/>
    <col min="13" max="13" width="11" bestFit="1" customWidth="1"/>
    <col min="14" max="15" width="12.28515625" bestFit="1" customWidth="1"/>
  </cols>
  <sheetData>
    <row r="2" spans="1:2" s="526" customFormat="1" ht="21">
      <c r="A2" s="649" t="s">
        <v>531</v>
      </c>
    </row>
    <row r="3" spans="1:2" s="526" customFormat="1" ht="21">
      <c r="A3" s="649" t="s">
        <v>529</v>
      </c>
    </row>
    <row r="4" spans="1:2" s="526" customFormat="1" ht="21">
      <c r="A4" s="649"/>
      <c r="B4" s="526" t="s">
        <v>530</v>
      </c>
    </row>
    <row r="5" spans="1:2" s="526" customFormat="1" ht="21">
      <c r="A5" s="649"/>
    </row>
    <row r="6" spans="1:2" s="526" customFormat="1" ht="21">
      <c r="A6" s="649"/>
    </row>
    <row r="7" spans="1:2">
      <c r="A7" t="s">
        <v>391</v>
      </c>
    </row>
    <row r="9" spans="1:2">
      <c r="A9" t="s">
        <v>395</v>
      </c>
    </row>
    <row r="10" spans="1:2">
      <c r="A10" t="s">
        <v>392</v>
      </c>
    </row>
    <row r="12" spans="1:2">
      <c r="A12" t="s">
        <v>393</v>
      </c>
    </row>
    <row r="13" spans="1:2">
      <c r="A13" t="s">
        <v>394</v>
      </c>
    </row>
    <row r="16" spans="1:2" ht="15.75" thickBot="1"/>
    <row r="17" spans="1:12" ht="15.75" thickTop="1">
      <c r="A17" s="498"/>
      <c r="B17" s="499"/>
      <c r="C17" s="499"/>
      <c r="D17" s="499"/>
      <c r="E17" s="499"/>
      <c r="F17" s="499"/>
      <c r="G17" s="499"/>
      <c r="H17" s="499"/>
      <c r="I17" s="499"/>
      <c r="J17" s="499"/>
      <c r="K17" s="499"/>
      <c r="L17" s="500"/>
    </row>
    <row r="18" spans="1:12">
      <c r="A18" s="50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502"/>
    </row>
    <row r="19" spans="1:12" ht="26.25">
      <c r="A19" s="503" t="s">
        <v>388</v>
      </c>
      <c r="B19" s="11"/>
      <c r="C19" s="11"/>
      <c r="D19" s="11"/>
      <c r="E19" s="11"/>
      <c r="F19" s="11"/>
      <c r="G19" s="504" t="s">
        <v>389</v>
      </c>
      <c r="H19" s="504"/>
      <c r="I19" s="11"/>
      <c r="J19" s="11"/>
      <c r="K19" s="11"/>
      <c r="L19" s="502"/>
    </row>
    <row r="20" spans="1:12">
      <c r="A20" s="50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502"/>
    </row>
    <row r="21" spans="1:12">
      <c r="A21" s="505" t="s">
        <v>374</v>
      </c>
      <c r="B21" s="4" t="s">
        <v>365</v>
      </c>
      <c r="C21" s="4" t="s">
        <v>372</v>
      </c>
      <c r="D21" s="11" t="s">
        <v>387</v>
      </c>
      <c r="E21" s="11"/>
      <c r="F21" s="11"/>
      <c r="G21" s="11" t="s">
        <v>374</v>
      </c>
      <c r="H21" s="4" t="s">
        <v>383</v>
      </c>
      <c r="I21" s="45" t="s">
        <v>381</v>
      </c>
      <c r="J21" s="45" t="s">
        <v>382</v>
      </c>
      <c r="K21" s="11" t="s">
        <v>387</v>
      </c>
      <c r="L21" s="502"/>
    </row>
    <row r="22" spans="1:12">
      <c r="A22" s="506" t="s">
        <v>364</v>
      </c>
      <c r="B22" s="1" t="s">
        <v>112</v>
      </c>
      <c r="C22" s="1" t="s">
        <v>366</v>
      </c>
      <c r="D22" s="32" t="s">
        <v>373</v>
      </c>
      <c r="E22" s="11"/>
      <c r="F22" s="11"/>
      <c r="G22" s="11" t="s">
        <v>364</v>
      </c>
      <c r="H22" s="4" t="s">
        <v>364</v>
      </c>
      <c r="I22" s="45" t="s">
        <v>112</v>
      </c>
      <c r="J22" s="45" t="s">
        <v>366</v>
      </c>
      <c r="K22" s="11" t="s">
        <v>390</v>
      </c>
      <c r="L22" s="502"/>
    </row>
    <row r="23" spans="1:12">
      <c r="A23" s="505"/>
      <c r="B23" s="4"/>
      <c r="C23" s="4"/>
      <c r="D23" s="11"/>
      <c r="E23" s="11"/>
      <c r="F23" s="11"/>
      <c r="G23" s="11"/>
      <c r="H23" s="4"/>
      <c r="I23" s="45"/>
      <c r="J23" s="45"/>
      <c r="K23" s="11"/>
      <c r="L23" s="502"/>
    </row>
    <row r="24" spans="1:12">
      <c r="A24" s="505" t="str">
        <f>A53</f>
        <v>A</v>
      </c>
      <c r="B24" s="512">
        <f>J53</f>
        <v>2.3599999999999999E-2</v>
      </c>
      <c r="C24" s="4">
        <f>I53</f>
        <v>180</v>
      </c>
      <c r="D24" s="11"/>
      <c r="E24" s="11"/>
      <c r="F24" s="11"/>
      <c r="G24" s="11" t="s">
        <v>6</v>
      </c>
      <c r="H24" s="4" t="s">
        <v>6</v>
      </c>
      <c r="I24" s="492">
        <f>Washers!D14</f>
        <v>1.3173228346456694E-2</v>
      </c>
      <c r="J24" s="45">
        <f>2*B53</f>
        <v>26</v>
      </c>
      <c r="K24" s="11"/>
      <c r="L24" s="502"/>
    </row>
    <row r="25" spans="1:12">
      <c r="A25" s="506" t="str">
        <f t="shared" ref="A25:A43" si="0">A54</f>
        <v>As</v>
      </c>
      <c r="B25" s="513">
        <f t="shared" ref="B25:B39" si="1">J54</f>
        <v>2.3599999999999999E-2</v>
      </c>
      <c r="C25" s="1">
        <f t="shared" ref="C25:C43" si="2">I54</f>
        <v>58</v>
      </c>
      <c r="D25" s="485">
        <f>(C24+C25)*(1+0.1)</f>
        <v>261.8</v>
      </c>
      <c r="E25" s="11"/>
      <c r="F25" s="11"/>
      <c r="G25" s="32" t="s">
        <v>164</v>
      </c>
      <c r="H25" s="1" t="s">
        <v>164</v>
      </c>
      <c r="I25" s="493">
        <f>Washers!D15</f>
        <v>1.3173228346456694E-2</v>
      </c>
      <c r="J25" s="46">
        <f t="shared" ref="J25:J43" si="3">2*B54</f>
        <v>26</v>
      </c>
      <c r="K25" s="486">
        <f>(1+0.2)*(J24+J25)</f>
        <v>62.4</v>
      </c>
      <c r="L25" s="502"/>
    </row>
    <row r="26" spans="1:12">
      <c r="A26" s="507" t="str">
        <f t="shared" si="0"/>
        <v>B</v>
      </c>
      <c r="B26" s="514">
        <f t="shared" si="1"/>
        <v>2.2700000000000001E-2</v>
      </c>
      <c r="C26" s="490">
        <f t="shared" si="2"/>
        <v>156</v>
      </c>
      <c r="D26" s="489">
        <f>C26*(1+0.1)</f>
        <v>171.60000000000002</v>
      </c>
      <c r="E26" s="11"/>
      <c r="F26" s="11"/>
      <c r="G26" s="31" t="s">
        <v>9</v>
      </c>
      <c r="H26" s="491" t="s">
        <v>9</v>
      </c>
      <c r="I26" s="492">
        <f>Washers!$D$16</f>
        <v>1.7503937007874018E-2</v>
      </c>
      <c r="J26" s="48">
        <f>2*B55</f>
        <v>24</v>
      </c>
      <c r="K26" s="487"/>
      <c r="L26" s="502"/>
    </row>
    <row r="27" spans="1:12">
      <c r="A27" s="507" t="str">
        <f t="shared" si="0"/>
        <v>Bs</v>
      </c>
      <c r="B27" s="514">
        <f t="shared" si="1"/>
        <v>2.2200000000000001E-2</v>
      </c>
      <c r="C27" s="490">
        <f t="shared" si="2"/>
        <v>52</v>
      </c>
      <c r="D27" s="489">
        <f t="shared" ref="D27:D32" si="4">C27*(1+0.1)</f>
        <v>57.2</v>
      </c>
      <c r="E27" s="11"/>
      <c r="F27" s="11"/>
      <c r="G27" s="11" t="s">
        <v>165</v>
      </c>
      <c r="H27" s="4" t="s">
        <v>165</v>
      </c>
      <c r="I27" s="492">
        <f>Washers!$D$17</f>
        <v>1.8291338582677168E-2</v>
      </c>
      <c r="J27" s="45">
        <f t="shared" si="3"/>
        <v>24</v>
      </c>
      <c r="K27" s="485"/>
      <c r="L27" s="502"/>
    </row>
    <row r="28" spans="1:12">
      <c r="A28" s="507" t="str">
        <f t="shared" si="0"/>
        <v>C</v>
      </c>
      <c r="B28" s="514">
        <f t="shared" si="1"/>
        <v>2.6700000000000002E-2</v>
      </c>
      <c r="C28" s="490">
        <f t="shared" si="2"/>
        <v>144</v>
      </c>
      <c r="D28" s="489">
        <f t="shared" si="4"/>
        <v>158.4</v>
      </c>
      <c r="E28" s="11"/>
      <c r="F28" s="11"/>
      <c r="G28" s="11" t="s">
        <v>11</v>
      </c>
      <c r="H28" s="4" t="s">
        <v>9</v>
      </c>
      <c r="I28" s="492">
        <f>Washers!$D$16</f>
        <v>1.7503937007874018E-2</v>
      </c>
      <c r="J28" s="45">
        <f t="shared" si="3"/>
        <v>22</v>
      </c>
      <c r="K28" s="485"/>
      <c r="L28" s="502"/>
    </row>
    <row r="29" spans="1:12">
      <c r="A29" s="507" t="str">
        <f t="shared" si="0"/>
        <v>Cs</v>
      </c>
      <c r="B29" s="514">
        <f t="shared" si="1"/>
        <v>2.6200000000000001E-2</v>
      </c>
      <c r="C29" s="490">
        <f t="shared" si="2"/>
        <v>24</v>
      </c>
      <c r="D29" s="489">
        <f>C29*(1+0.1)+1</f>
        <v>27.400000000000002</v>
      </c>
      <c r="E29" s="11"/>
      <c r="F29" s="11"/>
      <c r="G29" s="11" t="s">
        <v>226</v>
      </c>
      <c r="H29" s="4" t="s">
        <v>165</v>
      </c>
      <c r="I29" s="492">
        <f>Washers!$D$17</f>
        <v>1.8291338582677168E-2</v>
      </c>
      <c r="J29" s="45">
        <f t="shared" si="3"/>
        <v>22</v>
      </c>
      <c r="K29" s="485"/>
      <c r="L29" s="502"/>
    </row>
    <row r="30" spans="1:12">
      <c r="A30" s="507" t="str">
        <f t="shared" si="0"/>
        <v>D</v>
      </c>
      <c r="B30" s="514">
        <f t="shared" si="1"/>
        <v>3.1E-2</v>
      </c>
      <c r="C30" s="490">
        <f t="shared" si="2"/>
        <v>165</v>
      </c>
      <c r="D30" s="489">
        <f t="shared" si="4"/>
        <v>181.50000000000003</v>
      </c>
      <c r="E30" s="11"/>
      <c r="F30" s="11"/>
      <c r="G30" s="32" t="s">
        <v>13</v>
      </c>
      <c r="H30" s="1" t="s">
        <v>9</v>
      </c>
      <c r="I30" s="492">
        <f>Washers!$D$16</f>
        <v>1.7503937007874018E-2</v>
      </c>
      <c r="J30" s="46">
        <f t="shared" si="3"/>
        <v>20</v>
      </c>
      <c r="K30" s="486">
        <f>(1+0.2)*(SUM(J26:J30))</f>
        <v>134.4</v>
      </c>
      <c r="L30" s="502"/>
    </row>
    <row r="31" spans="1:12">
      <c r="A31" s="507" t="str">
        <f t="shared" si="0"/>
        <v>E</v>
      </c>
      <c r="B31" s="514">
        <f t="shared" si="1"/>
        <v>3.1699999999999999E-2</v>
      </c>
      <c r="C31" s="490">
        <f t="shared" si="2"/>
        <v>150</v>
      </c>
      <c r="D31" s="489">
        <f t="shared" si="4"/>
        <v>165</v>
      </c>
      <c r="E31" s="11"/>
      <c r="F31" s="11"/>
      <c r="G31" s="488" t="s">
        <v>15</v>
      </c>
      <c r="H31" s="490" t="s">
        <v>11</v>
      </c>
      <c r="I31" s="495">
        <f>Washers!D18</f>
        <v>2.262204724409449E-2</v>
      </c>
      <c r="J31" s="496">
        <f t="shared" si="3"/>
        <v>18</v>
      </c>
      <c r="K31" s="489">
        <f>(1+0.2)*J31</f>
        <v>21.599999999999998</v>
      </c>
      <c r="L31" s="502"/>
    </row>
    <row r="32" spans="1:12">
      <c r="A32" s="507" t="str">
        <f t="shared" si="0"/>
        <v>F</v>
      </c>
      <c r="B32" s="514">
        <f t="shared" si="1"/>
        <v>3.3700000000000001E-2</v>
      </c>
      <c r="C32" s="490">
        <f t="shared" si="2"/>
        <v>135</v>
      </c>
      <c r="D32" s="489">
        <f t="shared" si="4"/>
        <v>148.5</v>
      </c>
      <c r="E32" s="11"/>
      <c r="F32" s="11"/>
      <c r="G32" s="488" t="s">
        <v>17</v>
      </c>
      <c r="H32" s="490" t="s">
        <v>13</v>
      </c>
      <c r="I32" s="495">
        <f>Washers!D19</f>
        <v>2.7740157480314963E-2</v>
      </c>
      <c r="J32" s="496">
        <f t="shared" si="3"/>
        <v>16</v>
      </c>
      <c r="K32" s="489">
        <f>(1+0.2)*J32</f>
        <v>19.2</v>
      </c>
      <c r="L32" s="502"/>
    </row>
    <row r="33" spans="1:12">
      <c r="A33" s="508" t="str">
        <f t="shared" si="0"/>
        <v>G</v>
      </c>
      <c r="B33" s="515">
        <f t="shared" si="1"/>
        <v>3.7999999999999999E-2</v>
      </c>
      <c r="C33" s="491">
        <f t="shared" si="2"/>
        <v>96</v>
      </c>
      <c r="D33" s="487"/>
      <c r="E33" s="11"/>
      <c r="F33" s="11"/>
      <c r="G33" s="31" t="s">
        <v>19</v>
      </c>
      <c r="H33" s="491" t="s">
        <v>15</v>
      </c>
      <c r="I33" s="494">
        <f>Washers!D20</f>
        <v>3.246456692913386E-2</v>
      </c>
      <c r="J33" s="48">
        <f t="shared" si="3"/>
        <v>14</v>
      </c>
      <c r="K33" s="497"/>
      <c r="L33" s="502"/>
    </row>
    <row r="34" spans="1:12">
      <c r="A34" s="506" t="str">
        <f t="shared" si="0"/>
        <v>Gs</v>
      </c>
      <c r="B34" s="513">
        <f t="shared" si="1"/>
        <v>3.8399999999999997E-2</v>
      </c>
      <c r="C34" s="1">
        <f t="shared" si="2"/>
        <v>32</v>
      </c>
      <c r="D34" s="486">
        <f>(C33+C34)*(1+0.1)</f>
        <v>140.80000000000001</v>
      </c>
      <c r="E34" s="11"/>
      <c r="F34" s="11"/>
      <c r="G34" s="32" t="s">
        <v>168</v>
      </c>
      <c r="H34" s="1" t="s">
        <v>166</v>
      </c>
      <c r="I34" s="493">
        <f>Washers!D21</f>
        <v>3.246456692913386E-2</v>
      </c>
      <c r="J34" s="46">
        <f t="shared" si="3"/>
        <v>14</v>
      </c>
      <c r="K34" s="485">
        <f>(1+0.2)*(J33+J34)</f>
        <v>33.6</v>
      </c>
      <c r="L34" s="502"/>
    </row>
    <row r="35" spans="1:12">
      <c r="A35" s="508" t="str">
        <f t="shared" si="0"/>
        <v>H</v>
      </c>
      <c r="B35" s="515">
        <f t="shared" si="1"/>
        <v>4.4999999999999998E-2</v>
      </c>
      <c r="C35" s="491">
        <f t="shared" si="2"/>
        <v>84</v>
      </c>
      <c r="D35" s="487"/>
      <c r="E35" s="11"/>
      <c r="F35" s="11"/>
      <c r="G35" s="31" t="s">
        <v>21</v>
      </c>
      <c r="H35" s="491" t="s">
        <v>17</v>
      </c>
      <c r="I35" s="494">
        <f>Washers!D22</f>
        <v>3.7976377952755908E-2</v>
      </c>
      <c r="J35" s="48">
        <f t="shared" si="3"/>
        <v>12</v>
      </c>
      <c r="K35" s="487"/>
      <c r="L35" s="502"/>
    </row>
    <row r="36" spans="1:12">
      <c r="A36" s="506" t="str">
        <f t="shared" si="0"/>
        <v>Hs</v>
      </c>
      <c r="B36" s="513">
        <f t="shared" si="1"/>
        <v>4.4900000000000002E-2</v>
      </c>
      <c r="C36" s="1">
        <f t="shared" si="2"/>
        <v>42</v>
      </c>
      <c r="D36" s="486">
        <f>(C35+C36)*(1+0.1)</f>
        <v>138.60000000000002</v>
      </c>
      <c r="E36" s="11"/>
      <c r="F36" s="11"/>
      <c r="G36" s="32" t="s">
        <v>243</v>
      </c>
      <c r="H36" s="1" t="s">
        <v>167</v>
      </c>
      <c r="I36" s="493">
        <f>Washers!D23</f>
        <v>3.8370078740157486E-2</v>
      </c>
      <c r="J36" s="46">
        <f t="shared" si="3"/>
        <v>12</v>
      </c>
      <c r="K36" s="486">
        <f>(1+0.2)*(J35+J36)</f>
        <v>28.799999999999997</v>
      </c>
      <c r="L36" s="502"/>
    </row>
    <row r="37" spans="1:12">
      <c r="A37" s="507" t="str">
        <f t="shared" si="0"/>
        <v>I</v>
      </c>
      <c r="B37" s="514">
        <f t="shared" si="1"/>
        <v>5.04E-2</v>
      </c>
      <c r="C37" s="490">
        <f t="shared" si="2"/>
        <v>72</v>
      </c>
      <c r="D37" s="489">
        <f>C37*(1+0.1)</f>
        <v>79.2</v>
      </c>
      <c r="E37" s="11"/>
      <c r="F37" s="11"/>
      <c r="G37" s="31" t="s">
        <v>22</v>
      </c>
      <c r="H37" s="491" t="s">
        <v>19</v>
      </c>
      <c r="I37" s="494">
        <f>Washers!D24</f>
        <v>4.8212598425196852E-2</v>
      </c>
      <c r="J37" s="48">
        <f t="shared" si="3"/>
        <v>10</v>
      </c>
      <c r="K37" s="487"/>
      <c r="L37" s="502"/>
    </row>
    <row r="38" spans="1:12">
      <c r="A38" s="507" t="str">
        <f t="shared" si="0"/>
        <v>Is</v>
      </c>
      <c r="B38" s="514">
        <f t="shared" si="1"/>
        <v>5.1900000000000002E-2</v>
      </c>
      <c r="C38" s="490">
        <f t="shared" si="2"/>
        <v>24</v>
      </c>
      <c r="D38" s="489">
        <f>C38*(1+0.1)</f>
        <v>26.400000000000002</v>
      </c>
      <c r="E38" s="11"/>
      <c r="F38" s="11"/>
      <c r="G38" s="32" t="s">
        <v>244</v>
      </c>
      <c r="H38" s="1" t="s">
        <v>168</v>
      </c>
      <c r="I38" s="493">
        <f>Washers!D25</f>
        <v>4.8212598425196852E-2</v>
      </c>
      <c r="J38" s="46">
        <f t="shared" si="3"/>
        <v>10</v>
      </c>
      <c r="K38" s="486">
        <f>(J37+J38)*1.2</f>
        <v>24</v>
      </c>
      <c r="L38" s="502"/>
    </row>
    <row r="39" spans="1:12">
      <c r="A39" s="507" t="str">
        <f t="shared" si="0"/>
        <v>J</v>
      </c>
      <c r="B39" s="514">
        <f t="shared" si="1"/>
        <v>6.7199999999999996E-2</v>
      </c>
      <c r="C39" s="490">
        <f t="shared" si="2"/>
        <v>75</v>
      </c>
      <c r="D39" s="489">
        <f>C39*(1+0.1)</f>
        <v>82.5</v>
      </c>
      <c r="E39" s="11"/>
      <c r="F39" s="11"/>
      <c r="G39" s="488" t="s">
        <v>24</v>
      </c>
      <c r="H39" s="1" t="s">
        <v>21</v>
      </c>
      <c r="I39" s="495">
        <f>Washers!D26</f>
        <v>5.7661417322834647E-2</v>
      </c>
      <c r="J39" s="496">
        <f t="shared" si="3"/>
        <v>8</v>
      </c>
      <c r="K39" s="489">
        <v>10</v>
      </c>
      <c r="L39" s="502"/>
    </row>
    <row r="40" spans="1:12">
      <c r="A40" s="507" t="str">
        <f t="shared" si="0"/>
        <v>K</v>
      </c>
      <c r="B40" s="514">
        <f>J69</f>
        <v>9.2299999999999993E-2</v>
      </c>
      <c r="C40" s="490">
        <f t="shared" si="2"/>
        <v>60</v>
      </c>
      <c r="D40" s="489">
        <f>C40*(1+0.1)</f>
        <v>66</v>
      </c>
      <c r="E40" s="11"/>
      <c r="F40" s="11"/>
      <c r="G40" s="488" t="s">
        <v>26</v>
      </c>
      <c r="H40" s="1" t="s">
        <v>22</v>
      </c>
      <c r="I40" s="495">
        <f>Washers!D27</f>
        <v>7.4984251968503932E-2</v>
      </c>
      <c r="J40" s="496">
        <f t="shared" si="3"/>
        <v>6</v>
      </c>
      <c r="K40" s="489">
        <v>8</v>
      </c>
      <c r="L40" s="502"/>
    </row>
    <row r="41" spans="1:12">
      <c r="A41" s="507" t="str">
        <f t="shared" si="0"/>
        <v>L</v>
      </c>
      <c r="B41" s="514">
        <f>J70</f>
        <v>0.1211</v>
      </c>
      <c r="C41" s="490">
        <f t="shared" si="2"/>
        <v>45</v>
      </c>
      <c r="D41" s="489">
        <f t="shared" ref="D41" si="5">C41*(1+0.1)</f>
        <v>49.500000000000007</v>
      </c>
      <c r="E41" s="11"/>
      <c r="F41" s="11"/>
      <c r="G41" s="488" t="s">
        <v>239</v>
      </c>
      <c r="H41" s="1" t="s">
        <v>24</v>
      </c>
      <c r="I41" s="495">
        <f>Washers!D28</f>
        <v>0.13128346456692913</v>
      </c>
      <c r="J41" s="496">
        <f t="shared" si="3"/>
        <v>4</v>
      </c>
      <c r="K41" s="489">
        <v>5</v>
      </c>
      <c r="L41" s="502"/>
    </row>
    <row r="42" spans="1:12">
      <c r="A42" s="507" t="str">
        <f t="shared" si="0"/>
        <v>M</v>
      </c>
      <c r="B42" s="514">
        <f>J71</f>
        <v>0.25019999999999998</v>
      </c>
      <c r="C42" s="490">
        <f t="shared" si="2"/>
        <v>12</v>
      </c>
      <c r="D42" s="489">
        <v>15</v>
      </c>
      <c r="E42" s="11"/>
      <c r="F42" s="11"/>
      <c r="G42" s="488" t="s">
        <v>89</v>
      </c>
      <c r="H42" s="1" t="s">
        <v>26</v>
      </c>
      <c r="I42" s="495">
        <f>Washers!D29</f>
        <v>0.25923622047244094</v>
      </c>
      <c r="J42" s="496">
        <f t="shared" si="3"/>
        <v>2</v>
      </c>
      <c r="K42" s="489">
        <v>3</v>
      </c>
      <c r="L42" s="502"/>
    </row>
    <row r="43" spans="1:12">
      <c r="A43" s="507" t="str">
        <f t="shared" si="0"/>
        <v>Ms</v>
      </c>
      <c r="B43" s="514">
        <f t="shared" ref="B43" si="6">J72</f>
        <v>0.24790000000000001</v>
      </c>
      <c r="C43" s="490">
        <f t="shared" si="2"/>
        <v>2</v>
      </c>
      <c r="D43" s="489">
        <v>4</v>
      </c>
      <c r="E43" s="11"/>
      <c r="F43" s="11"/>
      <c r="G43" s="488" t="s">
        <v>245</v>
      </c>
      <c r="H43" s="1" t="s">
        <v>169</v>
      </c>
      <c r="I43" s="495">
        <f>Washers!D30</f>
        <v>0.26081102362204728</v>
      </c>
      <c r="J43" s="496">
        <f t="shared" si="3"/>
        <v>2</v>
      </c>
      <c r="K43" s="489">
        <v>3</v>
      </c>
      <c r="L43" s="502"/>
    </row>
    <row r="44" spans="1:12">
      <c r="A44" s="501"/>
      <c r="B44" s="315"/>
      <c r="C44" s="11"/>
      <c r="D44" s="11"/>
      <c r="E44" s="11"/>
      <c r="F44" s="11"/>
      <c r="G44" s="11"/>
      <c r="H44" s="11"/>
      <c r="I44" s="11"/>
      <c r="J44" s="11"/>
      <c r="K44" s="11"/>
      <c r="L44" s="502"/>
    </row>
    <row r="45" spans="1:12" ht="15.75" thickBot="1">
      <c r="A45" s="509"/>
      <c r="B45" s="510"/>
      <c r="C45" s="510"/>
      <c r="D45" s="510"/>
      <c r="E45" s="510"/>
      <c r="F45" s="510"/>
      <c r="G45" s="510"/>
      <c r="H45" s="510"/>
      <c r="I45" s="510"/>
      <c r="J45" s="510"/>
      <c r="K45" s="510"/>
      <c r="L45" s="511"/>
    </row>
    <row r="46" spans="1:12" ht="15.75" thickTop="1">
      <c r="A46" s="312"/>
    </row>
    <row r="47" spans="1:12">
      <c r="A47" s="312"/>
    </row>
    <row r="48" spans="1:12" ht="26.25">
      <c r="A48" s="427" t="s">
        <v>335</v>
      </c>
      <c r="B48" s="427"/>
      <c r="C48" s="427"/>
      <c r="D48" s="427"/>
      <c r="E48" s="427"/>
    </row>
    <row r="49" spans="1:11">
      <c r="F49" s="5"/>
      <c r="G49" s="11"/>
      <c r="H49" s="11"/>
      <c r="I49" s="11"/>
    </row>
    <row r="50" spans="1:11">
      <c r="A50" s="11" t="s">
        <v>246</v>
      </c>
      <c r="B50" s="5" t="s">
        <v>241</v>
      </c>
      <c r="C50" s="11" t="s">
        <v>254</v>
      </c>
      <c r="D50" s="11" t="s">
        <v>248</v>
      </c>
      <c r="E50" s="5" t="s">
        <v>255</v>
      </c>
      <c r="F50" s="139" t="s">
        <v>262</v>
      </c>
      <c r="G50" s="78" t="s">
        <v>367</v>
      </c>
      <c r="H50" s="78"/>
      <c r="I50" s="78" t="s">
        <v>262</v>
      </c>
      <c r="J50" s="11" t="s">
        <v>365</v>
      </c>
    </row>
    <row r="51" spans="1:11">
      <c r="A51" s="32" t="s">
        <v>364</v>
      </c>
      <c r="B51" s="2"/>
      <c r="C51" s="32" t="s">
        <v>266</v>
      </c>
      <c r="D51" s="32" t="s">
        <v>266</v>
      </c>
      <c r="E51" s="2"/>
      <c r="F51" s="155" t="s">
        <v>263</v>
      </c>
      <c r="G51" s="32" t="s">
        <v>368</v>
      </c>
      <c r="H51" s="32"/>
      <c r="I51" s="32" t="s">
        <v>366</v>
      </c>
      <c r="J51" s="32" t="s">
        <v>112</v>
      </c>
    </row>
    <row r="52" spans="1:11">
      <c r="B52" s="5"/>
      <c r="E52" s="5"/>
      <c r="F52" s="139"/>
      <c r="G52" s="66"/>
      <c r="H52" s="66"/>
      <c r="I52" s="66"/>
      <c r="J52" s="11"/>
    </row>
    <row r="53" spans="1:11">
      <c r="A53" s="66" t="s">
        <v>6</v>
      </c>
      <c r="B53" s="139">
        <v>13</v>
      </c>
      <c r="C53" s="66">
        <v>4</v>
      </c>
      <c r="D53" s="66">
        <f t="shared" ref="D53:D72" si="7">B53*C53</f>
        <v>52</v>
      </c>
      <c r="E53" s="356" t="s">
        <v>6</v>
      </c>
      <c r="F53" s="139">
        <f>B53+1</f>
        <v>14</v>
      </c>
      <c r="G53" s="66">
        <v>3</v>
      </c>
      <c r="H53" s="66"/>
      <c r="I53" s="66">
        <f>(F53*G53*C53)+(F71*G71*C71)</f>
        <v>180</v>
      </c>
      <c r="J53" s="516">
        <f>'Spacers I'!C678</f>
        <v>2.3599999999999999E-2</v>
      </c>
      <c r="K53" s="17"/>
    </row>
    <row r="54" spans="1:11">
      <c r="A54" s="66" t="s">
        <v>164</v>
      </c>
      <c r="B54" s="139">
        <v>13</v>
      </c>
      <c r="C54" s="66">
        <v>2</v>
      </c>
      <c r="D54" s="66">
        <f t="shared" si="7"/>
        <v>26</v>
      </c>
      <c r="E54" s="356" t="s">
        <v>164</v>
      </c>
      <c r="F54" s="139">
        <f t="shared" ref="F54:F70" si="8">B54+1</f>
        <v>14</v>
      </c>
      <c r="G54" s="66">
        <v>2</v>
      </c>
      <c r="H54" s="66"/>
      <c r="I54" s="66">
        <f>(F54*G54*C54)+(F72*G72*C72)</f>
        <v>58</v>
      </c>
      <c r="J54" s="516">
        <f>'Spacers I'!C679</f>
        <v>2.3599999999999999E-2</v>
      </c>
      <c r="K54" s="17"/>
    </row>
    <row r="55" spans="1:11">
      <c r="A55" s="66" t="s">
        <v>9</v>
      </c>
      <c r="B55" s="139">
        <v>12</v>
      </c>
      <c r="C55" s="66">
        <v>4</v>
      </c>
      <c r="D55" s="66">
        <f t="shared" si="7"/>
        <v>48</v>
      </c>
      <c r="E55" s="356" t="s">
        <v>9</v>
      </c>
      <c r="F55" s="139">
        <f t="shared" si="8"/>
        <v>13</v>
      </c>
      <c r="G55" s="66">
        <v>3</v>
      </c>
      <c r="H55" s="66"/>
      <c r="I55" s="66">
        <f>F55*G55*C55</f>
        <v>156</v>
      </c>
      <c r="J55" s="516">
        <f>'Spacers I'!C680</f>
        <v>2.2700000000000001E-2</v>
      </c>
      <c r="K55" s="17"/>
    </row>
    <row r="56" spans="1:11">
      <c r="A56" s="66" t="s">
        <v>165</v>
      </c>
      <c r="B56" s="139">
        <v>12</v>
      </c>
      <c r="C56" s="66">
        <v>2</v>
      </c>
      <c r="D56" s="66">
        <f t="shared" si="7"/>
        <v>24</v>
      </c>
      <c r="E56" s="356" t="s">
        <v>165</v>
      </c>
      <c r="F56" s="139">
        <f t="shared" si="8"/>
        <v>13</v>
      </c>
      <c r="G56" s="78">
        <v>2</v>
      </c>
      <c r="H56" s="78"/>
      <c r="I56" s="66">
        <f t="shared" ref="I56:I72" si="9">F56*G56*C56</f>
        <v>52</v>
      </c>
      <c r="J56" s="516">
        <f>'Spacers I'!C681</f>
        <v>2.2200000000000001E-2</v>
      </c>
      <c r="K56" s="17"/>
    </row>
    <row r="57" spans="1:11">
      <c r="A57" s="66" t="s">
        <v>11</v>
      </c>
      <c r="B57" s="139">
        <v>11</v>
      </c>
      <c r="C57" s="66">
        <v>4</v>
      </c>
      <c r="D57" s="66">
        <f t="shared" si="7"/>
        <v>44</v>
      </c>
      <c r="E57" s="356" t="s">
        <v>9</v>
      </c>
      <c r="F57" s="139">
        <f t="shared" si="8"/>
        <v>12</v>
      </c>
      <c r="G57" s="78">
        <v>3</v>
      </c>
      <c r="H57" s="78"/>
      <c r="I57" s="66">
        <f t="shared" si="9"/>
        <v>144</v>
      </c>
      <c r="J57" s="516">
        <f>'Spacers I'!C682</f>
        <v>2.6700000000000002E-2</v>
      </c>
      <c r="K57" s="17"/>
    </row>
    <row r="58" spans="1:11">
      <c r="A58" s="66" t="s">
        <v>226</v>
      </c>
      <c r="B58" s="139">
        <v>11</v>
      </c>
      <c r="C58" s="66">
        <v>1</v>
      </c>
      <c r="D58" s="66">
        <f t="shared" si="7"/>
        <v>11</v>
      </c>
      <c r="E58" s="356" t="s">
        <v>165</v>
      </c>
      <c r="F58" s="139">
        <f t="shared" si="8"/>
        <v>12</v>
      </c>
      <c r="G58" s="78">
        <v>2</v>
      </c>
      <c r="H58" s="78"/>
      <c r="I58" s="66">
        <f t="shared" si="9"/>
        <v>24</v>
      </c>
      <c r="J58" s="516">
        <f>'Spacers I'!C683</f>
        <v>2.6200000000000001E-2</v>
      </c>
      <c r="K58" s="17"/>
    </row>
    <row r="59" spans="1:11">
      <c r="A59" s="11" t="s">
        <v>13</v>
      </c>
      <c r="B59" s="5">
        <v>10</v>
      </c>
      <c r="C59" s="11">
        <v>5</v>
      </c>
      <c r="D59" s="11">
        <f t="shared" si="7"/>
        <v>50</v>
      </c>
      <c r="E59" s="450" t="s">
        <v>9</v>
      </c>
      <c r="F59" s="139">
        <f t="shared" si="8"/>
        <v>11</v>
      </c>
      <c r="G59" s="78">
        <v>3</v>
      </c>
      <c r="H59" s="78"/>
      <c r="I59" s="66">
        <f t="shared" si="9"/>
        <v>165</v>
      </c>
      <c r="J59" s="516">
        <f>'Spacers I'!C684</f>
        <v>3.1E-2</v>
      </c>
      <c r="K59" s="17"/>
    </row>
    <row r="60" spans="1:11">
      <c r="A60" s="11" t="s">
        <v>15</v>
      </c>
      <c r="B60" s="5">
        <v>9</v>
      </c>
      <c r="C60" s="11">
        <v>5</v>
      </c>
      <c r="D60" s="11">
        <f t="shared" si="7"/>
        <v>45</v>
      </c>
      <c r="E60" s="450" t="s">
        <v>11</v>
      </c>
      <c r="F60" s="139">
        <f t="shared" si="8"/>
        <v>10</v>
      </c>
      <c r="G60" s="78">
        <v>3</v>
      </c>
      <c r="H60" s="78"/>
      <c r="I60" s="66">
        <f t="shared" si="9"/>
        <v>150</v>
      </c>
      <c r="J60" s="516">
        <f>'Spacers I'!C685</f>
        <v>3.1699999999999999E-2</v>
      </c>
      <c r="K60" s="17"/>
    </row>
    <row r="61" spans="1:11">
      <c r="A61" s="11" t="s">
        <v>17</v>
      </c>
      <c r="B61" s="5">
        <v>8</v>
      </c>
      <c r="C61" s="11">
        <v>5</v>
      </c>
      <c r="D61" s="11">
        <f t="shared" si="7"/>
        <v>40</v>
      </c>
      <c r="E61" s="450" t="s">
        <v>13</v>
      </c>
      <c r="F61" s="139">
        <f t="shared" si="8"/>
        <v>9</v>
      </c>
      <c r="G61" s="78">
        <v>3</v>
      </c>
      <c r="H61" s="78"/>
      <c r="I61" s="66">
        <f t="shared" si="9"/>
        <v>135</v>
      </c>
      <c r="J61" s="516">
        <f>'Spacers I'!C686</f>
        <v>3.3700000000000001E-2</v>
      </c>
      <c r="K61" s="17"/>
    </row>
    <row r="62" spans="1:11">
      <c r="A62" s="11" t="s">
        <v>19</v>
      </c>
      <c r="B62" s="5">
        <v>7</v>
      </c>
      <c r="C62" s="11">
        <v>4</v>
      </c>
      <c r="D62" s="11">
        <f t="shared" si="7"/>
        <v>28</v>
      </c>
      <c r="E62" s="450" t="s">
        <v>15</v>
      </c>
      <c r="F62" s="139">
        <f t="shared" si="8"/>
        <v>8</v>
      </c>
      <c r="G62" s="78">
        <v>3</v>
      </c>
      <c r="H62" s="78"/>
      <c r="I62" s="66">
        <f t="shared" si="9"/>
        <v>96</v>
      </c>
      <c r="J62" s="516">
        <f>'Spacers I'!C687</f>
        <v>3.7999999999999999E-2</v>
      </c>
      <c r="K62" s="17"/>
    </row>
    <row r="63" spans="1:11">
      <c r="A63" s="11" t="s">
        <v>168</v>
      </c>
      <c r="B63" s="5">
        <v>7</v>
      </c>
      <c r="C63" s="11">
        <v>2</v>
      </c>
      <c r="D63" s="11">
        <f t="shared" si="7"/>
        <v>14</v>
      </c>
      <c r="E63" s="450" t="s">
        <v>166</v>
      </c>
      <c r="F63" s="139">
        <f t="shared" si="8"/>
        <v>8</v>
      </c>
      <c r="G63" s="78">
        <v>2</v>
      </c>
      <c r="H63" s="78"/>
      <c r="I63" s="66">
        <f t="shared" si="9"/>
        <v>32</v>
      </c>
      <c r="J63" s="516">
        <f>'Spacers I'!C688</f>
        <v>3.8399999999999997E-2</v>
      </c>
      <c r="K63" s="17"/>
    </row>
    <row r="64" spans="1:11">
      <c r="A64" s="11" t="s">
        <v>21</v>
      </c>
      <c r="B64" s="5">
        <v>6</v>
      </c>
      <c r="C64" s="11">
        <v>4</v>
      </c>
      <c r="D64" s="11">
        <f t="shared" si="7"/>
        <v>24</v>
      </c>
      <c r="E64" s="450" t="s">
        <v>17</v>
      </c>
      <c r="F64" s="139">
        <f t="shared" si="8"/>
        <v>7</v>
      </c>
      <c r="G64" s="78">
        <v>3</v>
      </c>
      <c r="H64" s="78"/>
      <c r="I64" s="66">
        <f t="shared" si="9"/>
        <v>84</v>
      </c>
      <c r="J64" s="516">
        <f>'Spacers I'!C689</f>
        <v>4.4999999999999998E-2</v>
      </c>
      <c r="K64" s="17"/>
    </row>
    <row r="65" spans="1:11">
      <c r="A65" s="11" t="s">
        <v>243</v>
      </c>
      <c r="B65" s="5">
        <v>6</v>
      </c>
      <c r="C65" s="11">
        <v>3</v>
      </c>
      <c r="D65" s="11">
        <f t="shared" si="7"/>
        <v>18</v>
      </c>
      <c r="E65" s="450" t="s">
        <v>167</v>
      </c>
      <c r="F65" s="139">
        <f t="shared" si="8"/>
        <v>7</v>
      </c>
      <c r="G65" s="78">
        <v>2</v>
      </c>
      <c r="H65" s="78"/>
      <c r="I65" s="66">
        <f t="shared" si="9"/>
        <v>42</v>
      </c>
      <c r="J65" s="516">
        <f>'Spacers I'!C690</f>
        <v>4.4900000000000002E-2</v>
      </c>
      <c r="K65" s="17"/>
    </row>
    <row r="66" spans="1:11">
      <c r="A66" s="11" t="s">
        <v>22</v>
      </c>
      <c r="B66" s="5">
        <v>5</v>
      </c>
      <c r="C66" s="11">
        <v>4</v>
      </c>
      <c r="D66" s="11">
        <f t="shared" si="7"/>
        <v>20</v>
      </c>
      <c r="E66" s="450" t="s">
        <v>19</v>
      </c>
      <c r="F66" s="139">
        <f t="shared" si="8"/>
        <v>6</v>
      </c>
      <c r="G66" s="78">
        <v>3</v>
      </c>
      <c r="H66" s="78"/>
      <c r="I66" s="66">
        <f t="shared" si="9"/>
        <v>72</v>
      </c>
      <c r="J66" s="516">
        <f>'Spacers I'!C691</f>
        <v>5.04E-2</v>
      </c>
      <c r="K66" s="17"/>
    </row>
    <row r="67" spans="1:11">
      <c r="A67" s="11" t="s">
        <v>244</v>
      </c>
      <c r="B67" s="5">
        <v>5</v>
      </c>
      <c r="C67" s="11">
        <v>2</v>
      </c>
      <c r="D67" s="11">
        <f t="shared" si="7"/>
        <v>10</v>
      </c>
      <c r="E67" s="450" t="s">
        <v>168</v>
      </c>
      <c r="F67" s="139">
        <f t="shared" si="8"/>
        <v>6</v>
      </c>
      <c r="G67" s="78">
        <v>2</v>
      </c>
      <c r="H67" s="78"/>
      <c r="I67" s="66">
        <f t="shared" si="9"/>
        <v>24</v>
      </c>
      <c r="J67" s="516">
        <f>'Spacers I'!C692</f>
        <v>5.1900000000000002E-2</v>
      </c>
      <c r="K67" s="17"/>
    </row>
    <row r="68" spans="1:11">
      <c r="A68" s="11" t="s">
        <v>24</v>
      </c>
      <c r="B68" s="5">
        <v>4</v>
      </c>
      <c r="C68" s="11">
        <v>5</v>
      </c>
      <c r="D68" s="11">
        <f t="shared" si="7"/>
        <v>20</v>
      </c>
      <c r="E68" s="450" t="s">
        <v>21</v>
      </c>
      <c r="F68" s="139">
        <f t="shared" si="8"/>
        <v>5</v>
      </c>
      <c r="G68" s="78">
        <v>3</v>
      </c>
      <c r="H68" s="78"/>
      <c r="I68" s="66">
        <f t="shared" si="9"/>
        <v>75</v>
      </c>
      <c r="J68" s="516">
        <f>'Spacers I'!C693</f>
        <v>6.7199999999999996E-2</v>
      </c>
      <c r="K68" s="17"/>
    </row>
    <row r="69" spans="1:11">
      <c r="A69" s="11" t="s">
        <v>26</v>
      </c>
      <c r="B69" s="5">
        <v>3</v>
      </c>
      <c r="C69" s="11">
        <v>5</v>
      </c>
      <c r="D69" s="11">
        <f t="shared" si="7"/>
        <v>15</v>
      </c>
      <c r="E69" s="450" t="s">
        <v>22</v>
      </c>
      <c r="F69" s="139">
        <f t="shared" si="8"/>
        <v>4</v>
      </c>
      <c r="G69" s="78">
        <v>3</v>
      </c>
      <c r="H69" s="78"/>
      <c r="I69" s="66">
        <f t="shared" si="9"/>
        <v>60</v>
      </c>
      <c r="J69" s="516">
        <f>'Spacers I'!C694</f>
        <v>9.2299999999999993E-2</v>
      </c>
      <c r="K69" s="17"/>
    </row>
    <row r="70" spans="1:11">
      <c r="A70" s="11" t="s">
        <v>239</v>
      </c>
      <c r="B70" s="5">
        <v>2</v>
      </c>
      <c r="C70" s="11">
        <v>5</v>
      </c>
      <c r="D70" s="11">
        <f t="shared" si="7"/>
        <v>10</v>
      </c>
      <c r="E70" s="450" t="s">
        <v>24</v>
      </c>
      <c r="F70" s="139">
        <f t="shared" si="8"/>
        <v>3</v>
      </c>
      <c r="G70" s="78">
        <v>3</v>
      </c>
      <c r="H70" s="78"/>
      <c r="I70" s="66">
        <f t="shared" si="9"/>
        <v>45</v>
      </c>
      <c r="J70" s="516">
        <f>'Spacers I'!C695</f>
        <v>0.1211</v>
      </c>
      <c r="K70" s="17"/>
    </row>
    <row r="71" spans="1:11">
      <c r="A71" s="11" t="s">
        <v>89</v>
      </c>
      <c r="B71" s="5">
        <v>1</v>
      </c>
      <c r="C71" s="11">
        <v>4</v>
      </c>
      <c r="D71" s="11">
        <f t="shared" si="7"/>
        <v>4</v>
      </c>
      <c r="E71" s="450" t="s">
        <v>26</v>
      </c>
      <c r="F71" s="139">
        <f t="shared" ref="F71:F72" si="10">B71</f>
        <v>1</v>
      </c>
      <c r="G71" s="78">
        <v>3</v>
      </c>
      <c r="H71" s="78"/>
      <c r="I71" s="66">
        <f t="shared" si="9"/>
        <v>12</v>
      </c>
      <c r="J71" s="516">
        <f>'Spacers I'!C696</f>
        <v>0.25019999999999998</v>
      </c>
      <c r="K71" s="17"/>
    </row>
    <row r="72" spans="1:11">
      <c r="A72" s="32" t="s">
        <v>245</v>
      </c>
      <c r="B72" s="2">
        <v>1</v>
      </c>
      <c r="C72" s="32">
        <v>1</v>
      </c>
      <c r="D72" s="32">
        <f t="shared" si="7"/>
        <v>1</v>
      </c>
      <c r="E72" s="357" t="s">
        <v>169</v>
      </c>
      <c r="F72" s="155">
        <f t="shared" si="10"/>
        <v>1</v>
      </c>
      <c r="G72" s="111">
        <v>2</v>
      </c>
      <c r="H72" s="111"/>
      <c r="I72" s="111">
        <f t="shared" si="9"/>
        <v>2</v>
      </c>
      <c r="J72" s="517">
        <f>'Spacers I'!C697</f>
        <v>0.24790000000000001</v>
      </c>
      <c r="K72" s="17"/>
    </row>
    <row r="73" spans="1:11">
      <c r="C73">
        <f>SUM(C53:C72)</f>
        <v>71</v>
      </c>
      <c r="D73">
        <f>SUM(D53:D72)</f>
        <v>504</v>
      </c>
      <c r="I73" s="78">
        <f>SUM(I53:I72)</f>
        <v>1608</v>
      </c>
    </row>
    <row r="74" spans="1:11">
      <c r="G74" t="s">
        <v>370</v>
      </c>
      <c r="I74" t="s">
        <v>369</v>
      </c>
    </row>
    <row r="75" spans="1:11">
      <c r="G75" t="s">
        <v>371</v>
      </c>
    </row>
  </sheetData>
  <pageMargins left="0.25" right="0.25" top="0.25" bottom="0.25" header="0.3" footer="0.3"/>
  <pageSetup scale="80" orientation="landscape" horizontalDpi="200" verticalDpi="200" r:id="rId1"/>
  <rowBreaks count="1" manualBreakCount="1">
    <brk id="47" max="16383" man="1"/>
  </rowBreaks>
</worksheet>
</file>

<file path=xl/worksheets/sheet28.xml><?xml version="1.0" encoding="utf-8"?>
<worksheet xmlns="http://schemas.openxmlformats.org/spreadsheetml/2006/main" xmlns:r="http://schemas.openxmlformats.org/officeDocument/2006/relationships">
  <dimension ref="A2:H181"/>
  <sheetViews>
    <sheetView view="pageBreakPreview" topLeftCell="A39" zoomScale="60" zoomScaleNormal="75" workbookViewId="0">
      <selection activeCell="G162" sqref="G162"/>
    </sheetView>
  </sheetViews>
  <sheetFormatPr defaultRowHeight="15"/>
  <cols>
    <col min="1" max="1" width="9" customWidth="1"/>
    <col min="2" max="2" width="15.140625" customWidth="1"/>
    <col min="3" max="3" width="13.28515625" bestFit="1" customWidth="1"/>
    <col min="4" max="4" width="12.5703125" customWidth="1"/>
    <col min="5" max="5" width="10.7109375" customWidth="1"/>
    <col min="6" max="6" width="11" bestFit="1" customWidth="1"/>
    <col min="7" max="7" width="11.140625" bestFit="1" customWidth="1"/>
    <col min="9" max="9" width="10.42578125" bestFit="1" customWidth="1"/>
    <col min="10" max="10" width="16.7109375" bestFit="1" customWidth="1"/>
  </cols>
  <sheetData>
    <row r="2" spans="1:6" s="526" customFormat="1" ht="21">
      <c r="A2" s="650" t="s">
        <v>532</v>
      </c>
    </row>
    <row r="3" spans="1:6">
      <c r="A3" t="s">
        <v>558</v>
      </c>
    </row>
    <row r="5" spans="1:6">
      <c r="A5" t="s">
        <v>533</v>
      </c>
    </row>
    <row r="8" spans="1:6">
      <c r="A8" t="s">
        <v>393</v>
      </c>
    </row>
    <row r="9" spans="1:6">
      <c r="A9" t="s">
        <v>394</v>
      </c>
    </row>
    <row r="10" spans="1:6">
      <c r="A10" t="s">
        <v>556</v>
      </c>
    </row>
    <row r="11" spans="1:6">
      <c r="A11" t="s">
        <v>557</v>
      </c>
    </row>
    <row r="12" spans="1:6" ht="15.75" thickBot="1"/>
    <row r="13" spans="1:6" ht="15.75" thickTop="1">
      <c r="A13" s="498"/>
      <c r="B13" s="499"/>
      <c r="C13" s="499"/>
      <c r="D13" s="499"/>
      <c r="E13" s="499"/>
      <c r="F13" s="500"/>
    </row>
    <row r="14" spans="1:6">
      <c r="A14" s="501"/>
      <c r="B14" s="11"/>
      <c r="C14" s="11"/>
      <c r="D14" s="11"/>
      <c r="E14" s="11"/>
      <c r="F14" s="502"/>
    </row>
    <row r="15" spans="1:6" ht="26.25">
      <c r="A15" s="503" t="s">
        <v>388</v>
      </c>
      <c r="B15" s="11"/>
      <c r="C15" s="11"/>
      <c r="D15" s="11"/>
      <c r="E15" s="11"/>
      <c r="F15" s="502"/>
    </row>
    <row r="16" spans="1:6">
      <c r="A16" s="501"/>
      <c r="B16" s="11"/>
      <c r="C16" s="11"/>
      <c r="D16" s="11"/>
      <c r="E16" s="11"/>
      <c r="F16" s="502"/>
    </row>
    <row r="17" spans="1:6">
      <c r="A17" s="505" t="s">
        <v>535</v>
      </c>
      <c r="B17" s="4" t="s">
        <v>559</v>
      </c>
      <c r="C17" s="4" t="s">
        <v>372</v>
      </c>
      <c r="D17" s="45" t="s">
        <v>552</v>
      </c>
      <c r="E17" s="15" t="s">
        <v>554</v>
      </c>
      <c r="F17" s="502"/>
    </row>
    <row r="18" spans="1:6">
      <c r="A18" s="506" t="s">
        <v>364</v>
      </c>
      <c r="B18" s="1" t="s">
        <v>112</v>
      </c>
      <c r="C18" s="1" t="s">
        <v>366</v>
      </c>
      <c r="D18" s="46" t="s">
        <v>553</v>
      </c>
      <c r="E18" s="661" t="s">
        <v>555</v>
      </c>
      <c r="F18" s="502"/>
    </row>
    <row r="19" spans="1:6">
      <c r="A19" s="505"/>
      <c r="B19" s="4"/>
      <c r="C19" s="4"/>
      <c r="D19" s="45"/>
      <c r="E19" s="11"/>
      <c r="F19" s="502"/>
    </row>
    <row r="20" spans="1:6">
      <c r="A20" s="505" t="s">
        <v>6</v>
      </c>
      <c r="B20" s="617">
        <f>B161</f>
        <v>2.4E-2</v>
      </c>
      <c r="C20" s="379">
        <f>C161</f>
        <v>168</v>
      </c>
      <c r="D20" s="665"/>
      <c r="E20" s="614"/>
      <c r="F20" s="502"/>
    </row>
    <row r="21" spans="1:6">
      <c r="A21" s="506" t="s">
        <v>164</v>
      </c>
      <c r="B21" s="618">
        <f t="shared" ref="B21:D39" si="0">B162</f>
        <v>2.4E-2</v>
      </c>
      <c r="C21" s="393">
        <f t="shared" si="0"/>
        <v>52</v>
      </c>
      <c r="D21" s="666">
        <f t="shared" si="0"/>
        <v>220</v>
      </c>
      <c r="E21" s="667">
        <f>D21*(1.05)</f>
        <v>231</v>
      </c>
      <c r="F21" s="502"/>
    </row>
    <row r="22" spans="1:6">
      <c r="A22" s="507" t="s">
        <v>9</v>
      </c>
      <c r="B22" s="668">
        <f t="shared" si="0"/>
        <v>2.3E-2</v>
      </c>
      <c r="C22" s="669">
        <f t="shared" si="0"/>
        <v>132</v>
      </c>
      <c r="D22" s="669">
        <f t="shared" si="0"/>
        <v>132</v>
      </c>
      <c r="E22" s="667">
        <f t="shared" ref="E22:E28" si="1">D22*(1.05)</f>
        <v>138.6</v>
      </c>
      <c r="F22" s="502"/>
    </row>
    <row r="23" spans="1:6">
      <c r="A23" s="507" t="s">
        <v>165</v>
      </c>
      <c r="B23" s="668">
        <f t="shared" si="0"/>
        <v>2.1999999999999999E-2</v>
      </c>
      <c r="C23" s="669">
        <f t="shared" si="0"/>
        <v>260</v>
      </c>
      <c r="D23" s="669">
        <f t="shared" si="0"/>
        <v>260</v>
      </c>
      <c r="E23" s="667">
        <f t="shared" si="1"/>
        <v>273</v>
      </c>
      <c r="F23" s="502"/>
    </row>
    <row r="24" spans="1:6">
      <c r="A24" s="507" t="s">
        <v>11</v>
      </c>
      <c r="B24" s="668">
        <f t="shared" si="0"/>
        <v>2.7E-2</v>
      </c>
      <c r="C24" s="669">
        <f t="shared" si="0"/>
        <v>120</v>
      </c>
      <c r="D24" s="669">
        <f t="shared" si="0"/>
        <v>120</v>
      </c>
      <c r="E24" s="667">
        <f t="shared" si="1"/>
        <v>126</v>
      </c>
      <c r="F24" s="502"/>
    </row>
    <row r="25" spans="1:6">
      <c r="A25" s="507" t="s">
        <v>226</v>
      </c>
      <c r="B25" s="668">
        <f t="shared" si="0"/>
        <v>2.5999999999999999E-2</v>
      </c>
      <c r="C25" s="669">
        <f t="shared" si="0"/>
        <v>22</v>
      </c>
      <c r="D25" s="669">
        <f t="shared" si="0"/>
        <v>22</v>
      </c>
      <c r="E25" s="667">
        <f t="shared" si="1"/>
        <v>23.1</v>
      </c>
      <c r="F25" s="502"/>
    </row>
    <row r="26" spans="1:6">
      <c r="A26" s="507" t="s">
        <v>13</v>
      </c>
      <c r="B26" s="668">
        <f t="shared" si="0"/>
        <v>3.1E-2</v>
      </c>
      <c r="C26" s="669">
        <f t="shared" si="0"/>
        <v>150</v>
      </c>
      <c r="D26" s="669">
        <f t="shared" si="0"/>
        <v>150</v>
      </c>
      <c r="E26" s="667">
        <f t="shared" si="1"/>
        <v>157.5</v>
      </c>
      <c r="F26" s="502"/>
    </row>
    <row r="27" spans="1:6">
      <c r="A27" s="507" t="s">
        <v>15</v>
      </c>
      <c r="B27" s="668">
        <f t="shared" si="0"/>
        <v>3.2000000000000001E-2</v>
      </c>
      <c r="C27" s="669">
        <f t="shared" si="0"/>
        <v>150</v>
      </c>
      <c r="D27" s="669">
        <f t="shared" si="0"/>
        <v>150</v>
      </c>
      <c r="E27" s="667">
        <f t="shared" si="1"/>
        <v>157.5</v>
      </c>
      <c r="F27" s="502"/>
    </row>
    <row r="28" spans="1:6">
      <c r="A28" s="507" t="s">
        <v>17</v>
      </c>
      <c r="B28" s="668">
        <f t="shared" si="0"/>
        <v>3.4000000000000002E-2</v>
      </c>
      <c r="C28" s="669">
        <f t="shared" si="0"/>
        <v>117</v>
      </c>
      <c r="D28" s="669">
        <f t="shared" si="0"/>
        <v>117</v>
      </c>
      <c r="E28" s="667">
        <f t="shared" si="1"/>
        <v>122.85000000000001</v>
      </c>
      <c r="F28" s="502"/>
    </row>
    <row r="29" spans="1:6">
      <c r="A29" s="508" t="s">
        <v>19</v>
      </c>
      <c r="B29" s="670">
        <f t="shared" si="0"/>
        <v>3.7999999999999999E-2</v>
      </c>
      <c r="C29" s="612">
        <f t="shared" si="0"/>
        <v>72</v>
      </c>
      <c r="D29" s="671"/>
      <c r="E29" s="611"/>
      <c r="F29" s="502"/>
    </row>
    <row r="30" spans="1:6">
      <c r="A30" s="506" t="s">
        <v>168</v>
      </c>
      <c r="B30" s="618">
        <f t="shared" si="0"/>
        <v>3.7999999999999999E-2</v>
      </c>
      <c r="C30" s="393">
        <f t="shared" si="0"/>
        <v>28</v>
      </c>
      <c r="D30" s="666">
        <f t="shared" si="0"/>
        <v>100</v>
      </c>
      <c r="E30" s="342">
        <f>D30*1.05</f>
        <v>105</v>
      </c>
      <c r="F30" s="502"/>
    </row>
    <row r="31" spans="1:6">
      <c r="A31" s="508" t="s">
        <v>21</v>
      </c>
      <c r="B31" s="439">
        <f t="shared" si="0"/>
        <v>4.3999999999999997E-2</v>
      </c>
      <c r="C31" s="379">
        <f t="shared" si="0"/>
        <v>72</v>
      </c>
      <c r="D31" s="665"/>
      <c r="E31" s="614"/>
      <c r="F31" s="502"/>
    </row>
    <row r="32" spans="1:6">
      <c r="A32" s="506" t="s">
        <v>243</v>
      </c>
      <c r="B32" s="439">
        <f t="shared" si="0"/>
        <v>4.3999999999999997E-2</v>
      </c>
      <c r="C32" s="379">
        <f t="shared" si="0"/>
        <v>36</v>
      </c>
      <c r="D32" s="665">
        <f t="shared" si="0"/>
        <v>108</v>
      </c>
      <c r="E32" s="672">
        <f>D32*1.05</f>
        <v>113.4</v>
      </c>
      <c r="F32" s="502"/>
    </row>
    <row r="33" spans="1:6">
      <c r="A33" s="507" t="s">
        <v>22</v>
      </c>
      <c r="B33" s="668">
        <f t="shared" si="0"/>
        <v>0.05</v>
      </c>
      <c r="C33" s="663">
        <f t="shared" si="0"/>
        <v>64</v>
      </c>
      <c r="D33" s="669">
        <f t="shared" si="0"/>
        <v>64</v>
      </c>
      <c r="E33" s="673">
        <f t="shared" ref="E33:E38" si="2">D33*1.05</f>
        <v>67.2</v>
      </c>
      <c r="F33" s="502"/>
    </row>
    <row r="34" spans="1:6">
      <c r="A34" s="507" t="s">
        <v>244</v>
      </c>
      <c r="B34" s="668">
        <f t="shared" si="0"/>
        <v>5.1999999999999998E-2</v>
      </c>
      <c r="C34" s="663">
        <f t="shared" si="0"/>
        <v>16</v>
      </c>
      <c r="D34" s="669">
        <f t="shared" si="0"/>
        <v>16</v>
      </c>
      <c r="E34" s="673">
        <f t="shared" si="2"/>
        <v>16.8</v>
      </c>
      <c r="F34" s="502"/>
    </row>
    <row r="35" spans="1:6">
      <c r="A35" s="507" t="s">
        <v>24</v>
      </c>
      <c r="B35" s="668">
        <f t="shared" si="0"/>
        <v>6.7000000000000004E-2</v>
      </c>
      <c r="C35" s="663">
        <f t="shared" si="0"/>
        <v>60</v>
      </c>
      <c r="D35" s="669">
        <f t="shared" si="0"/>
        <v>60</v>
      </c>
      <c r="E35" s="673">
        <f t="shared" si="2"/>
        <v>63</v>
      </c>
      <c r="F35" s="502"/>
    </row>
    <row r="36" spans="1:6">
      <c r="A36" s="507" t="s">
        <v>26</v>
      </c>
      <c r="B36" s="668">
        <f t="shared" si="0"/>
        <v>9.1999999999999998E-2</v>
      </c>
      <c r="C36" s="663">
        <f t="shared" si="0"/>
        <v>45</v>
      </c>
      <c r="D36" s="669">
        <f t="shared" si="0"/>
        <v>45</v>
      </c>
      <c r="E36" s="673">
        <f t="shared" si="2"/>
        <v>47.25</v>
      </c>
      <c r="F36" s="502"/>
    </row>
    <row r="37" spans="1:6">
      <c r="A37" s="507" t="s">
        <v>239</v>
      </c>
      <c r="B37" s="668">
        <f t="shared" si="0"/>
        <v>0.121</v>
      </c>
      <c r="C37" s="663">
        <f t="shared" si="0"/>
        <v>30</v>
      </c>
      <c r="D37" s="669">
        <f t="shared" si="0"/>
        <v>30</v>
      </c>
      <c r="E37" s="673">
        <f t="shared" si="2"/>
        <v>31.5</v>
      </c>
      <c r="F37" s="502"/>
    </row>
    <row r="38" spans="1:6">
      <c r="A38" s="507" t="s">
        <v>89</v>
      </c>
      <c r="B38" s="668">
        <f t="shared" si="0"/>
        <v>0.25</v>
      </c>
      <c r="C38" s="663">
        <f t="shared" si="0"/>
        <v>12</v>
      </c>
      <c r="D38" s="669">
        <f t="shared" si="0"/>
        <v>12</v>
      </c>
      <c r="E38" s="673">
        <f t="shared" si="2"/>
        <v>12.600000000000001</v>
      </c>
      <c r="F38" s="502"/>
    </row>
    <row r="39" spans="1:6">
      <c r="A39" s="507" t="s">
        <v>245</v>
      </c>
      <c r="B39" s="668">
        <f t="shared" si="0"/>
        <v>0.247</v>
      </c>
      <c r="C39" s="663">
        <f t="shared" si="0"/>
        <v>2</v>
      </c>
      <c r="D39" s="669">
        <f t="shared" si="0"/>
        <v>2</v>
      </c>
      <c r="E39" s="673">
        <v>3</v>
      </c>
      <c r="F39" s="502"/>
    </row>
    <row r="40" spans="1:6">
      <c r="A40" s="501"/>
      <c r="B40" s="324"/>
      <c r="C40" s="379">
        <f t="shared" ref="C40:D40" si="3">C181</f>
        <v>1608</v>
      </c>
      <c r="D40" s="665">
        <f t="shared" si="3"/>
        <v>1608</v>
      </c>
      <c r="E40" s="629">
        <f>SUM(E21:E39)</f>
        <v>1689.3</v>
      </c>
      <c r="F40" s="502"/>
    </row>
    <row r="41" spans="1:6" ht="15.75" thickBot="1">
      <c r="A41" s="509"/>
      <c r="B41" s="510"/>
      <c r="C41" s="510"/>
      <c r="D41" s="510"/>
      <c r="E41" s="510"/>
      <c r="F41" s="511"/>
    </row>
    <row r="42" spans="1:6" ht="15.75" thickTop="1"/>
    <row r="45" spans="1:6">
      <c r="A45" t="s">
        <v>551</v>
      </c>
    </row>
    <row r="47" spans="1:6">
      <c r="A47" s="11" t="s">
        <v>246</v>
      </c>
      <c r="B47" s="5" t="s">
        <v>549</v>
      </c>
      <c r="C47" s="11" t="s">
        <v>254</v>
      </c>
      <c r="D47" s="78" t="s">
        <v>367</v>
      </c>
      <c r="E47" s="651" t="s">
        <v>262</v>
      </c>
    </row>
    <row r="48" spans="1:6">
      <c r="A48" s="32" t="s">
        <v>364</v>
      </c>
      <c r="B48" s="155" t="s">
        <v>263</v>
      </c>
      <c r="C48" s="32" t="s">
        <v>266</v>
      </c>
      <c r="D48" s="32" t="s">
        <v>368</v>
      </c>
      <c r="E48" s="2" t="s">
        <v>550</v>
      </c>
    </row>
    <row r="49" spans="1:8">
      <c r="B49" s="139"/>
      <c r="D49" s="66"/>
      <c r="E49" s="139"/>
    </row>
    <row r="50" spans="1:8">
      <c r="A50" s="66" t="s">
        <v>6</v>
      </c>
      <c r="B50" s="356">
        <v>13</v>
      </c>
      <c r="C50" s="222">
        <v>4</v>
      </c>
      <c r="D50" s="222">
        <v>3</v>
      </c>
      <c r="E50" s="356">
        <f>(B50+1)*C50*D50</f>
        <v>168</v>
      </c>
      <c r="G50" s="32" t="s">
        <v>539</v>
      </c>
      <c r="H50" s="32"/>
    </row>
    <row r="51" spans="1:8">
      <c r="A51" s="66" t="s">
        <v>164</v>
      </c>
      <c r="B51" s="356">
        <v>13</v>
      </c>
      <c r="C51" s="222">
        <v>2</v>
      </c>
      <c r="D51" s="222">
        <v>2</v>
      </c>
      <c r="E51" s="356">
        <f t="shared" ref="E51:E69" si="4">(B51+1)*C51*D51</f>
        <v>56</v>
      </c>
      <c r="G51" t="s">
        <v>370</v>
      </c>
    </row>
    <row r="52" spans="1:8">
      <c r="A52" s="66" t="s">
        <v>9</v>
      </c>
      <c r="B52" s="356">
        <v>12</v>
      </c>
      <c r="C52" s="222">
        <v>4</v>
      </c>
      <c r="D52" s="222">
        <v>3</v>
      </c>
      <c r="E52" s="356">
        <f t="shared" si="4"/>
        <v>156</v>
      </c>
      <c r="G52" t="s">
        <v>371</v>
      </c>
    </row>
    <row r="53" spans="1:8">
      <c r="A53" s="66" t="s">
        <v>165</v>
      </c>
      <c r="B53" s="356">
        <v>12</v>
      </c>
      <c r="C53" s="222">
        <v>2</v>
      </c>
      <c r="D53" s="224">
        <v>2</v>
      </c>
      <c r="E53" s="356">
        <f t="shared" si="4"/>
        <v>52</v>
      </c>
    </row>
    <row r="54" spans="1:8">
      <c r="A54" s="66" t="s">
        <v>11</v>
      </c>
      <c r="B54" s="356">
        <v>11</v>
      </c>
      <c r="C54" s="222">
        <v>4</v>
      </c>
      <c r="D54" s="224">
        <v>3</v>
      </c>
      <c r="E54" s="356">
        <f t="shared" si="4"/>
        <v>144</v>
      </c>
    </row>
    <row r="55" spans="1:8">
      <c r="A55" s="66" t="s">
        <v>226</v>
      </c>
      <c r="B55" s="356">
        <v>11</v>
      </c>
      <c r="C55" s="222">
        <v>1</v>
      </c>
      <c r="D55" s="224">
        <v>2</v>
      </c>
      <c r="E55" s="356">
        <f t="shared" si="4"/>
        <v>24</v>
      </c>
    </row>
    <row r="56" spans="1:8">
      <c r="A56" s="11" t="s">
        <v>13</v>
      </c>
      <c r="B56" s="356">
        <v>10</v>
      </c>
      <c r="C56" s="614">
        <v>5</v>
      </c>
      <c r="D56" s="224">
        <v>3</v>
      </c>
      <c r="E56" s="356">
        <f t="shared" si="4"/>
        <v>165</v>
      </c>
    </row>
    <row r="57" spans="1:8">
      <c r="A57" s="11" t="s">
        <v>15</v>
      </c>
      <c r="B57" s="356">
        <v>9</v>
      </c>
      <c r="C57" s="614">
        <v>5</v>
      </c>
      <c r="D57" s="224">
        <v>3</v>
      </c>
      <c r="E57" s="356">
        <f t="shared" si="4"/>
        <v>150</v>
      </c>
    </row>
    <row r="58" spans="1:8">
      <c r="A58" s="11" t="s">
        <v>17</v>
      </c>
      <c r="B58" s="356">
        <v>8</v>
      </c>
      <c r="C58" s="614">
        <v>5</v>
      </c>
      <c r="D58" s="224">
        <v>3</v>
      </c>
      <c r="E58" s="356">
        <f t="shared" si="4"/>
        <v>135</v>
      </c>
    </row>
    <row r="59" spans="1:8">
      <c r="A59" s="11" t="s">
        <v>19</v>
      </c>
      <c r="B59" s="356">
        <v>7</v>
      </c>
      <c r="C59" s="614">
        <v>4</v>
      </c>
      <c r="D59" s="224">
        <v>3</v>
      </c>
      <c r="E59" s="356">
        <f t="shared" si="4"/>
        <v>96</v>
      </c>
    </row>
    <row r="60" spans="1:8">
      <c r="A60" s="11" t="s">
        <v>168</v>
      </c>
      <c r="B60" s="356">
        <v>7</v>
      </c>
      <c r="C60" s="614">
        <v>2</v>
      </c>
      <c r="D60" s="224">
        <v>2</v>
      </c>
      <c r="E60" s="356">
        <f t="shared" si="4"/>
        <v>32</v>
      </c>
    </row>
    <row r="61" spans="1:8">
      <c r="A61" s="11" t="s">
        <v>21</v>
      </c>
      <c r="B61" s="356">
        <v>6</v>
      </c>
      <c r="C61" s="614">
        <v>4</v>
      </c>
      <c r="D61" s="224">
        <v>3</v>
      </c>
      <c r="E61" s="356">
        <f t="shared" si="4"/>
        <v>84</v>
      </c>
    </row>
    <row r="62" spans="1:8">
      <c r="A62" s="11" t="s">
        <v>243</v>
      </c>
      <c r="B62" s="356">
        <v>6</v>
      </c>
      <c r="C62" s="614">
        <v>3</v>
      </c>
      <c r="D62" s="224">
        <v>2</v>
      </c>
      <c r="E62" s="356">
        <f t="shared" si="4"/>
        <v>42</v>
      </c>
    </row>
    <row r="63" spans="1:8">
      <c r="A63" s="11" t="s">
        <v>22</v>
      </c>
      <c r="B63" s="356">
        <v>5</v>
      </c>
      <c r="C63" s="614">
        <v>4</v>
      </c>
      <c r="D63" s="224">
        <v>3</v>
      </c>
      <c r="E63" s="356">
        <f t="shared" si="4"/>
        <v>72</v>
      </c>
    </row>
    <row r="64" spans="1:8">
      <c r="A64" s="11" t="s">
        <v>244</v>
      </c>
      <c r="B64" s="356">
        <v>5</v>
      </c>
      <c r="C64" s="614">
        <v>2</v>
      </c>
      <c r="D64" s="224">
        <v>2</v>
      </c>
      <c r="E64" s="356">
        <f t="shared" si="4"/>
        <v>24</v>
      </c>
    </row>
    <row r="65" spans="1:5">
      <c r="A65" s="11" t="s">
        <v>24</v>
      </c>
      <c r="B65" s="356">
        <v>4</v>
      </c>
      <c r="C65" s="614">
        <v>5</v>
      </c>
      <c r="D65" s="224">
        <v>3</v>
      </c>
      <c r="E65" s="356">
        <f t="shared" si="4"/>
        <v>75</v>
      </c>
    </row>
    <row r="66" spans="1:5">
      <c r="A66" s="11" t="s">
        <v>26</v>
      </c>
      <c r="B66" s="356">
        <v>3</v>
      </c>
      <c r="C66" s="614">
        <v>5</v>
      </c>
      <c r="D66" s="224">
        <v>3</v>
      </c>
      <c r="E66" s="356">
        <f t="shared" si="4"/>
        <v>60</v>
      </c>
    </row>
    <row r="67" spans="1:5">
      <c r="A67" s="11" t="s">
        <v>239</v>
      </c>
      <c r="B67" s="356">
        <v>2</v>
      </c>
      <c r="C67" s="614">
        <v>5</v>
      </c>
      <c r="D67" s="224">
        <v>3</v>
      </c>
      <c r="E67" s="356">
        <f t="shared" si="4"/>
        <v>45</v>
      </c>
    </row>
    <row r="68" spans="1:5">
      <c r="A68" s="11" t="s">
        <v>89</v>
      </c>
      <c r="B68" s="356">
        <v>1</v>
      </c>
      <c r="C68" s="614">
        <v>4</v>
      </c>
      <c r="D68" s="224">
        <v>3</v>
      </c>
      <c r="E68" s="356">
        <f t="shared" si="4"/>
        <v>24</v>
      </c>
    </row>
    <row r="69" spans="1:5">
      <c r="A69" s="32" t="s">
        <v>245</v>
      </c>
      <c r="B69" s="652">
        <v>1</v>
      </c>
      <c r="C69" s="342">
        <v>1</v>
      </c>
      <c r="D69" s="430">
        <v>2</v>
      </c>
      <c r="E69" s="652">
        <f t="shared" si="4"/>
        <v>4</v>
      </c>
    </row>
    <row r="70" spans="1:5">
      <c r="B70" s="609"/>
      <c r="C70" s="610">
        <f>SUM(C50:C69)</f>
        <v>71</v>
      </c>
      <c r="D70" s="610"/>
      <c r="E70" s="662">
        <f>SUM(E50:E69)</f>
        <v>1608</v>
      </c>
    </row>
    <row r="72" spans="1:5">
      <c r="A72" t="s">
        <v>542</v>
      </c>
    </row>
    <row r="74" spans="1:5">
      <c r="A74" s="11" t="s">
        <v>246</v>
      </c>
      <c r="B74" s="5" t="s">
        <v>548</v>
      </c>
      <c r="C74" s="11" t="s">
        <v>254</v>
      </c>
      <c r="D74" s="78" t="s">
        <v>367</v>
      </c>
      <c r="E74" s="651" t="s">
        <v>262</v>
      </c>
    </row>
    <row r="75" spans="1:5">
      <c r="A75" s="32" t="s">
        <v>364</v>
      </c>
      <c r="B75" s="155" t="s">
        <v>263</v>
      </c>
      <c r="C75" s="32" t="s">
        <v>266</v>
      </c>
      <c r="D75" s="32" t="s">
        <v>368</v>
      </c>
      <c r="E75" s="2" t="s">
        <v>366</v>
      </c>
    </row>
    <row r="76" spans="1:5">
      <c r="B76" s="139"/>
      <c r="D76" s="66"/>
      <c r="E76" s="139"/>
    </row>
    <row r="77" spans="1:5">
      <c r="A77" s="66" t="s">
        <v>6</v>
      </c>
      <c r="B77" s="356">
        <f>B50-1</f>
        <v>12</v>
      </c>
      <c r="C77" s="222">
        <v>4</v>
      </c>
      <c r="D77" s="222">
        <v>3</v>
      </c>
      <c r="E77" s="356">
        <f t="shared" ref="E77:E96" si="5">B77*C77*D77</f>
        <v>144</v>
      </c>
    </row>
    <row r="78" spans="1:5">
      <c r="A78" s="66" t="s">
        <v>164</v>
      </c>
      <c r="B78" s="356">
        <f t="shared" ref="B78:B96" si="6">B51-1</f>
        <v>12</v>
      </c>
      <c r="C78" s="222">
        <v>2</v>
      </c>
      <c r="D78" s="222">
        <v>2</v>
      </c>
      <c r="E78" s="356">
        <f t="shared" si="5"/>
        <v>48</v>
      </c>
    </row>
    <row r="79" spans="1:5">
      <c r="A79" s="66" t="s">
        <v>9</v>
      </c>
      <c r="B79" s="356">
        <f t="shared" si="6"/>
        <v>11</v>
      </c>
      <c r="C79" s="222">
        <v>4</v>
      </c>
      <c r="D79" s="222">
        <v>3</v>
      </c>
      <c r="E79" s="356">
        <f t="shared" si="5"/>
        <v>132</v>
      </c>
    </row>
    <row r="80" spans="1:5">
      <c r="A80" s="66" t="s">
        <v>165</v>
      </c>
      <c r="B80" s="356">
        <f t="shared" si="6"/>
        <v>11</v>
      </c>
      <c r="C80" s="222">
        <v>2</v>
      </c>
      <c r="D80" s="224">
        <v>2</v>
      </c>
      <c r="E80" s="356">
        <f t="shared" si="5"/>
        <v>44</v>
      </c>
    </row>
    <row r="81" spans="1:5">
      <c r="A81" s="66" t="s">
        <v>11</v>
      </c>
      <c r="B81" s="356">
        <f t="shared" si="6"/>
        <v>10</v>
      </c>
      <c r="C81" s="222">
        <v>4</v>
      </c>
      <c r="D81" s="224">
        <v>3</v>
      </c>
      <c r="E81" s="356">
        <f t="shared" si="5"/>
        <v>120</v>
      </c>
    </row>
    <row r="82" spans="1:5">
      <c r="A82" s="66" t="s">
        <v>226</v>
      </c>
      <c r="B82" s="356">
        <f t="shared" si="6"/>
        <v>10</v>
      </c>
      <c r="C82" s="222">
        <v>1</v>
      </c>
      <c r="D82" s="224">
        <v>2</v>
      </c>
      <c r="E82" s="356">
        <f t="shared" si="5"/>
        <v>20</v>
      </c>
    </row>
    <row r="83" spans="1:5">
      <c r="A83" s="11" t="s">
        <v>13</v>
      </c>
      <c r="B83" s="356">
        <f t="shared" si="6"/>
        <v>9</v>
      </c>
      <c r="C83" s="614">
        <v>5</v>
      </c>
      <c r="D83" s="224">
        <v>3</v>
      </c>
      <c r="E83" s="356">
        <f t="shared" si="5"/>
        <v>135</v>
      </c>
    </row>
    <row r="84" spans="1:5">
      <c r="A84" s="11" t="s">
        <v>15</v>
      </c>
      <c r="B84" s="356">
        <f t="shared" si="6"/>
        <v>8</v>
      </c>
      <c r="C84" s="614">
        <v>5</v>
      </c>
      <c r="D84" s="224">
        <v>3</v>
      </c>
      <c r="E84" s="356">
        <f t="shared" si="5"/>
        <v>120</v>
      </c>
    </row>
    <row r="85" spans="1:5">
      <c r="A85" s="11" t="s">
        <v>17</v>
      </c>
      <c r="B85" s="356">
        <f t="shared" si="6"/>
        <v>7</v>
      </c>
      <c r="C85" s="614">
        <v>5</v>
      </c>
      <c r="D85" s="224">
        <v>3</v>
      </c>
      <c r="E85" s="356">
        <f t="shared" si="5"/>
        <v>105</v>
      </c>
    </row>
    <row r="86" spans="1:5">
      <c r="A86" s="11" t="s">
        <v>19</v>
      </c>
      <c r="B86" s="356">
        <f t="shared" si="6"/>
        <v>6</v>
      </c>
      <c r="C86" s="614">
        <v>4</v>
      </c>
      <c r="D86" s="224">
        <v>3</v>
      </c>
      <c r="E86" s="356">
        <f t="shared" si="5"/>
        <v>72</v>
      </c>
    </row>
    <row r="87" spans="1:5">
      <c r="A87" s="11" t="s">
        <v>168</v>
      </c>
      <c r="B87" s="356">
        <f t="shared" si="6"/>
        <v>6</v>
      </c>
      <c r="C87" s="614">
        <v>2</v>
      </c>
      <c r="D87" s="224">
        <v>2</v>
      </c>
      <c r="E87" s="356">
        <f t="shared" si="5"/>
        <v>24</v>
      </c>
    </row>
    <row r="88" spans="1:5">
      <c r="A88" s="11" t="s">
        <v>21</v>
      </c>
      <c r="B88" s="356">
        <f t="shared" si="6"/>
        <v>5</v>
      </c>
      <c r="C88" s="614">
        <v>4</v>
      </c>
      <c r="D88" s="224">
        <v>3</v>
      </c>
      <c r="E88" s="356">
        <f t="shared" si="5"/>
        <v>60</v>
      </c>
    </row>
    <row r="89" spans="1:5">
      <c r="A89" s="11" t="s">
        <v>243</v>
      </c>
      <c r="B89" s="356">
        <f t="shared" si="6"/>
        <v>5</v>
      </c>
      <c r="C89" s="614">
        <v>3</v>
      </c>
      <c r="D89" s="224">
        <v>2</v>
      </c>
      <c r="E89" s="356">
        <f t="shared" si="5"/>
        <v>30</v>
      </c>
    </row>
    <row r="90" spans="1:5">
      <c r="A90" s="11" t="s">
        <v>22</v>
      </c>
      <c r="B90" s="356">
        <f t="shared" si="6"/>
        <v>4</v>
      </c>
      <c r="C90" s="614">
        <v>4</v>
      </c>
      <c r="D90" s="224">
        <v>3</v>
      </c>
      <c r="E90" s="356">
        <f t="shared" si="5"/>
        <v>48</v>
      </c>
    </row>
    <row r="91" spans="1:5">
      <c r="A91" s="11" t="s">
        <v>244</v>
      </c>
      <c r="B91" s="356">
        <f t="shared" si="6"/>
        <v>4</v>
      </c>
      <c r="C91" s="614">
        <v>2</v>
      </c>
      <c r="D91" s="224">
        <v>2</v>
      </c>
      <c r="E91" s="356">
        <f t="shared" si="5"/>
        <v>16</v>
      </c>
    </row>
    <row r="92" spans="1:5">
      <c r="A92" s="11" t="s">
        <v>24</v>
      </c>
      <c r="B92" s="356">
        <f t="shared" si="6"/>
        <v>3</v>
      </c>
      <c r="C92" s="614">
        <v>5</v>
      </c>
      <c r="D92" s="224">
        <v>3</v>
      </c>
      <c r="E92" s="356">
        <f t="shared" si="5"/>
        <v>45</v>
      </c>
    </row>
    <row r="93" spans="1:5">
      <c r="A93" s="11" t="s">
        <v>26</v>
      </c>
      <c r="B93" s="356">
        <f t="shared" si="6"/>
        <v>2</v>
      </c>
      <c r="C93" s="614">
        <v>5</v>
      </c>
      <c r="D93" s="224">
        <v>3</v>
      </c>
      <c r="E93" s="356">
        <f t="shared" si="5"/>
        <v>30</v>
      </c>
    </row>
    <row r="94" spans="1:5">
      <c r="A94" s="11" t="s">
        <v>239</v>
      </c>
      <c r="B94" s="356">
        <f t="shared" si="6"/>
        <v>1</v>
      </c>
      <c r="C94" s="614">
        <v>5</v>
      </c>
      <c r="D94" s="224">
        <v>3</v>
      </c>
      <c r="E94" s="356">
        <f t="shared" si="5"/>
        <v>15</v>
      </c>
    </row>
    <row r="95" spans="1:5">
      <c r="A95" s="11" t="s">
        <v>89</v>
      </c>
      <c r="B95" s="356">
        <f t="shared" si="6"/>
        <v>0</v>
      </c>
      <c r="C95" s="614">
        <v>4</v>
      </c>
      <c r="D95" s="224">
        <v>3</v>
      </c>
      <c r="E95" s="356">
        <f t="shared" si="5"/>
        <v>0</v>
      </c>
    </row>
    <row r="96" spans="1:5">
      <c r="A96" s="32" t="s">
        <v>245</v>
      </c>
      <c r="B96" s="356">
        <f t="shared" si="6"/>
        <v>0</v>
      </c>
      <c r="C96" s="342">
        <v>1</v>
      </c>
      <c r="D96" s="430">
        <v>2</v>
      </c>
      <c r="E96" s="652">
        <f t="shared" si="5"/>
        <v>0</v>
      </c>
    </row>
    <row r="97" spans="1:5">
      <c r="B97" s="397"/>
      <c r="C97" s="610">
        <f>SUM(C77:C96)</f>
        <v>71</v>
      </c>
      <c r="E97" s="662">
        <f>SUM(E77:E96)</f>
        <v>1208</v>
      </c>
    </row>
    <row r="100" spans="1:5">
      <c r="A100" t="s">
        <v>534</v>
      </c>
    </row>
    <row r="102" spans="1:5">
      <c r="A102" s="4" t="s">
        <v>246</v>
      </c>
      <c r="B102" s="78" t="s">
        <v>460</v>
      </c>
      <c r="C102" s="11" t="s">
        <v>254</v>
      </c>
      <c r="D102" s="78" t="s">
        <v>367</v>
      </c>
      <c r="E102" s="651" t="s">
        <v>262</v>
      </c>
    </row>
    <row r="103" spans="1:5">
      <c r="A103" s="1" t="s">
        <v>364</v>
      </c>
      <c r="B103" s="32" t="s">
        <v>545</v>
      </c>
      <c r="C103" s="32" t="s">
        <v>266</v>
      </c>
      <c r="D103" s="32" t="s">
        <v>368</v>
      </c>
      <c r="E103" s="2" t="s">
        <v>366</v>
      </c>
    </row>
    <row r="104" spans="1:5">
      <c r="A104" s="4"/>
      <c r="B104" s="66"/>
      <c r="D104" s="66"/>
      <c r="E104" s="5"/>
    </row>
    <row r="105" spans="1:5">
      <c r="A105" s="140" t="s">
        <v>6</v>
      </c>
      <c r="B105" s="578" t="str">
        <f>A105</f>
        <v>A</v>
      </c>
      <c r="C105" s="222">
        <v>4</v>
      </c>
      <c r="D105" s="222">
        <v>3</v>
      </c>
      <c r="E105" s="613">
        <f>C105*D105</f>
        <v>12</v>
      </c>
    </row>
    <row r="106" spans="1:5">
      <c r="A106" s="140" t="s">
        <v>164</v>
      </c>
      <c r="B106" s="578" t="str">
        <f>A106</f>
        <v>As</v>
      </c>
      <c r="C106" s="222">
        <v>2</v>
      </c>
      <c r="D106" s="222">
        <v>2</v>
      </c>
      <c r="E106" s="613">
        <f t="shared" ref="E106:E124" si="7">C106*D106</f>
        <v>4</v>
      </c>
    </row>
    <row r="107" spans="1:5">
      <c r="A107" s="140" t="s">
        <v>9</v>
      </c>
      <c r="B107" s="578" t="s">
        <v>165</v>
      </c>
      <c r="C107" s="222">
        <v>4</v>
      </c>
      <c r="D107" s="222">
        <v>3</v>
      </c>
      <c r="E107" s="613">
        <f t="shared" si="7"/>
        <v>12</v>
      </c>
    </row>
    <row r="108" spans="1:5">
      <c r="A108" s="140" t="s">
        <v>165</v>
      </c>
      <c r="B108" s="578" t="str">
        <f>A108</f>
        <v>Bs</v>
      </c>
      <c r="C108" s="222">
        <v>2</v>
      </c>
      <c r="D108" s="224">
        <v>2</v>
      </c>
      <c r="E108" s="613">
        <f t="shared" si="7"/>
        <v>4</v>
      </c>
    </row>
    <row r="109" spans="1:5">
      <c r="A109" s="140" t="s">
        <v>11</v>
      </c>
      <c r="B109" s="578" t="s">
        <v>6</v>
      </c>
      <c r="C109" s="222">
        <v>4</v>
      </c>
      <c r="D109" s="224">
        <v>3</v>
      </c>
      <c r="E109" s="613">
        <f t="shared" si="7"/>
        <v>12</v>
      </c>
    </row>
    <row r="110" spans="1:5">
      <c r="A110" s="140" t="s">
        <v>226</v>
      </c>
      <c r="B110" s="578" t="str">
        <f>A110</f>
        <v>Cs</v>
      </c>
      <c r="C110" s="222">
        <v>1</v>
      </c>
      <c r="D110" s="224">
        <v>2</v>
      </c>
      <c r="E110" s="613">
        <f t="shared" si="7"/>
        <v>2</v>
      </c>
    </row>
    <row r="111" spans="1:5">
      <c r="A111" s="4" t="s">
        <v>13</v>
      </c>
      <c r="B111" s="578" t="str">
        <f>A111</f>
        <v>D</v>
      </c>
      <c r="C111" s="614">
        <v>5</v>
      </c>
      <c r="D111" s="224">
        <v>3</v>
      </c>
      <c r="E111" s="613">
        <f t="shared" si="7"/>
        <v>15</v>
      </c>
    </row>
    <row r="112" spans="1:5">
      <c r="A112" s="4" t="s">
        <v>15</v>
      </c>
      <c r="B112" s="578" t="str">
        <f>A112</f>
        <v>E</v>
      </c>
      <c r="C112" s="614">
        <v>5</v>
      </c>
      <c r="D112" s="224">
        <v>3</v>
      </c>
      <c r="E112" s="613">
        <f t="shared" si="7"/>
        <v>15</v>
      </c>
    </row>
    <row r="113" spans="1:5">
      <c r="A113" s="4" t="s">
        <v>17</v>
      </c>
      <c r="B113" s="578" t="s">
        <v>15</v>
      </c>
      <c r="C113" s="614">
        <v>5</v>
      </c>
      <c r="D113" s="224">
        <v>3</v>
      </c>
      <c r="E113" s="613">
        <f t="shared" si="7"/>
        <v>15</v>
      </c>
    </row>
    <row r="114" spans="1:5">
      <c r="A114" s="4" t="s">
        <v>19</v>
      </c>
      <c r="B114" s="578" t="s">
        <v>17</v>
      </c>
      <c r="C114" s="614">
        <v>4</v>
      </c>
      <c r="D114" s="224">
        <v>3</v>
      </c>
      <c r="E114" s="613">
        <f t="shared" si="7"/>
        <v>12</v>
      </c>
    </row>
    <row r="115" spans="1:5">
      <c r="A115" s="4" t="s">
        <v>168</v>
      </c>
      <c r="B115" s="578" t="str">
        <f>A115</f>
        <v>Gs</v>
      </c>
      <c r="C115" s="614">
        <v>2</v>
      </c>
      <c r="D115" s="224">
        <v>2</v>
      </c>
      <c r="E115" s="613">
        <f t="shared" si="7"/>
        <v>4</v>
      </c>
    </row>
    <row r="116" spans="1:5">
      <c r="A116" s="4" t="s">
        <v>21</v>
      </c>
      <c r="B116" s="578" t="str">
        <f>A116</f>
        <v>H</v>
      </c>
      <c r="C116" s="614">
        <v>4</v>
      </c>
      <c r="D116" s="224">
        <v>3</v>
      </c>
      <c r="E116" s="613">
        <f t="shared" si="7"/>
        <v>12</v>
      </c>
    </row>
    <row r="117" spans="1:5">
      <c r="A117" s="4" t="s">
        <v>243</v>
      </c>
      <c r="B117" s="578" t="str">
        <f>A117</f>
        <v>Hs</v>
      </c>
      <c r="C117" s="614">
        <v>3</v>
      </c>
      <c r="D117" s="224">
        <v>2</v>
      </c>
      <c r="E117" s="613">
        <f t="shared" si="7"/>
        <v>6</v>
      </c>
    </row>
    <row r="118" spans="1:5">
      <c r="A118" s="4" t="s">
        <v>22</v>
      </c>
      <c r="B118" s="578" t="str">
        <f>A118</f>
        <v>I</v>
      </c>
      <c r="C118" s="614">
        <v>4</v>
      </c>
      <c r="D118" s="224">
        <v>3</v>
      </c>
      <c r="E118" s="613">
        <f t="shared" si="7"/>
        <v>12</v>
      </c>
    </row>
    <row r="119" spans="1:5">
      <c r="A119" s="4" t="s">
        <v>244</v>
      </c>
      <c r="B119" s="578" t="s">
        <v>22</v>
      </c>
      <c r="C119" s="614">
        <v>2</v>
      </c>
      <c r="D119" s="224">
        <v>2</v>
      </c>
      <c r="E119" s="613">
        <f t="shared" si="7"/>
        <v>4</v>
      </c>
    </row>
    <row r="120" spans="1:5">
      <c r="A120" s="4" t="s">
        <v>24</v>
      </c>
      <c r="B120" s="578" t="str">
        <f>A120</f>
        <v>J</v>
      </c>
      <c r="C120" s="614">
        <v>5</v>
      </c>
      <c r="D120" s="224">
        <v>3</v>
      </c>
      <c r="E120" s="613">
        <f t="shared" si="7"/>
        <v>15</v>
      </c>
    </row>
    <row r="121" spans="1:5">
      <c r="A121" s="4" t="s">
        <v>26</v>
      </c>
      <c r="B121" s="578" t="str">
        <f>A121</f>
        <v>K</v>
      </c>
      <c r="C121" s="614">
        <v>5</v>
      </c>
      <c r="D121" s="224">
        <v>3</v>
      </c>
      <c r="E121" s="613">
        <f t="shared" si="7"/>
        <v>15</v>
      </c>
    </row>
    <row r="122" spans="1:5">
      <c r="A122" s="4" t="s">
        <v>239</v>
      </c>
      <c r="B122" s="578" t="str">
        <f>A122</f>
        <v>L</v>
      </c>
      <c r="C122" s="614">
        <v>5</v>
      </c>
      <c r="D122" s="224">
        <v>3</v>
      </c>
      <c r="E122" s="613">
        <f t="shared" si="7"/>
        <v>15</v>
      </c>
    </row>
    <row r="123" spans="1:5">
      <c r="A123" s="4" t="s">
        <v>89</v>
      </c>
      <c r="B123" s="578" t="s">
        <v>89</v>
      </c>
      <c r="C123" s="614">
        <v>4</v>
      </c>
      <c r="D123" s="224">
        <v>3</v>
      </c>
      <c r="E123" s="613">
        <f t="shared" si="7"/>
        <v>12</v>
      </c>
    </row>
    <row r="124" spans="1:5">
      <c r="A124" s="1" t="s">
        <v>245</v>
      </c>
      <c r="B124" s="579" t="s">
        <v>245</v>
      </c>
      <c r="C124" s="342">
        <v>1</v>
      </c>
      <c r="D124" s="430">
        <v>2</v>
      </c>
      <c r="E124" s="357">
        <f t="shared" si="7"/>
        <v>2</v>
      </c>
    </row>
    <row r="125" spans="1:5">
      <c r="B125" s="397"/>
      <c r="C125" s="610">
        <f>SUM(C105:C124)</f>
        <v>71</v>
      </c>
      <c r="D125" s="610"/>
      <c r="E125" s="528">
        <f>SUM(E105:E124)</f>
        <v>200</v>
      </c>
    </row>
    <row r="128" spans="1:5">
      <c r="A128" t="s">
        <v>543</v>
      </c>
    </row>
    <row r="130" spans="1:5">
      <c r="A130" s="4" t="s">
        <v>246</v>
      </c>
      <c r="B130" s="15" t="s">
        <v>544</v>
      </c>
      <c r="C130" t="s">
        <v>254</v>
      </c>
      <c r="D130" t="s">
        <v>367</v>
      </c>
      <c r="E130" s="5" t="s">
        <v>372</v>
      </c>
    </row>
    <row r="131" spans="1:5">
      <c r="A131" s="1" t="s">
        <v>364</v>
      </c>
      <c r="B131" s="661" t="s">
        <v>545</v>
      </c>
      <c r="C131" s="32" t="s">
        <v>266</v>
      </c>
      <c r="D131" s="32" t="s">
        <v>368</v>
      </c>
      <c r="E131" s="2" t="s">
        <v>366</v>
      </c>
    </row>
    <row r="132" spans="1:5">
      <c r="A132" s="4"/>
      <c r="E132" s="5"/>
    </row>
    <row r="133" spans="1:5">
      <c r="A133" s="140" t="s">
        <v>6</v>
      </c>
      <c r="B133" s="610" t="s">
        <v>165</v>
      </c>
      <c r="C133" s="610">
        <v>4</v>
      </c>
      <c r="D133" s="610">
        <v>3</v>
      </c>
      <c r="E133" s="613">
        <f>C133*D133</f>
        <v>12</v>
      </c>
    </row>
    <row r="134" spans="1:5">
      <c r="A134" s="140" t="s">
        <v>164</v>
      </c>
      <c r="B134" s="610" t="s">
        <v>165</v>
      </c>
      <c r="C134" s="610">
        <v>2</v>
      </c>
      <c r="D134" s="610">
        <v>2</v>
      </c>
      <c r="E134" s="613">
        <f t="shared" ref="E134:E152" si="8">C134*D134</f>
        <v>4</v>
      </c>
    </row>
    <row r="135" spans="1:5">
      <c r="A135" s="140" t="s">
        <v>9</v>
      </c>
      <c r="B135" s="610" t="s">
        <v>165</v>
      </c>
      <c r="C135" s="610">
        <v>4</v>
      </c>
      <c r="D135" s="610">
        <v>3</v>
      </c>
      <c r="E135" s="613">
        <f t="shared" si="8"/>
        <v>12</v>
      </c>
    </row>
    <row r="136" spans="1:5">
      <c r="A136" s="140" t="s">
        <v>165</v>
      </c>
      <c r="B136" s="610" t="s">
        <v>165</v>
      </c>
      <c r="C136" s="610">
        <v>2</v>
      </c>
      <c r="D136" s="610">
        <v>2</v>
      </c>
      <c r="E136" s="613">
        <f t="shared" si="8"/>
        <v>4</v>
      </c>
    </row>
    <row r="137" spans="1:5">
      <c r="A137" s="140" t="s">
        <v>11</v>
      </c>
      <c r="B137" s="610" t="s">
        <v>165</v>
      </c>
      <c r="C137" s="610">
        <v>4</v>
      </c>
      <c r="D137" s="610">
        <v>3</v>
      </c>
      <c r="E137" s="613">
        <f t="shared" si="8"/>
        <v>12</v>
      </c>
    </row>
    <row r="138" spans="1:5">
      <c r="A138" s="140" t="s">
        <v>226</v>
      </c>
      <c r="B138" s="610" t="s">
        <v>165</v>
      </c>
      <c r="C138" s="610">
        <v>1</v>
      </c>
      <c r="D138" s="610">
        <v>2</v>
      </c>
      <c r="E138" s="613">
        <f t="shared" si="8"/>
        <v>2</v>
      </c>
    </row>
    <row r="139" spans="1:5">
      <c r="A139" s="4" t="s">
        <v>13</v>
      </c>
      <c r="B139" s="610" t="s">
        <v>165</v>
      </c>
      <c r="C139" s="610">
        <v>5</v>
      </c>
      <c r="D139" s="610">
        <v>3</v>
      </c>
      <c r="E139" s="613">
        <f t="shared" si="8"/>
        <v>15</v>
      </c>
    </row>
    <row r="140" spans="1:5">
      <c r="A140" s="4" t="s">
        <v>15</v>
      </c>
      <c r="B140" s="610" t="s">
        <v>165</v>
      </c>
      <c r="C140" s="610">
        <v>5</v>
      </c>
      <c r="D140" s="610">
        <v>3</v>
      </c>
      <c r="E140" s="613">
        <f t="shared" si="8"/>
        <v>15</v>
      </c>
    </row>
    <row r="141" spans="1:5">
      <c r="A141" s="4" t="s">
        <v>17</v>
      </c>
      <c r="B141" s="610" t="s">
        <v>165</v>
      </c>
      <c r="C141" s="610">
        <v>5</v>
      </c>
      <c r="D141" s="610">
        <v>3</v>
      </c>
      <c r="E141" s="613">
        <f t="shared" si="8"/>
        <v>15</v>
      </c>
    </row>
    <row r="142" spans="1:5">
      <c r="A142" s="4" t="s">
        <v>19</v>
      </c>
      <c r="B142" s="610" t="s">
        <v>165</v>
      </c>
      <c r="C142" s="610">
        <v>4</v>
      </c>
      <c r="D142" s="610">
        <v>3</v>
      </c>
      <c r="E142" s="613">
        <f t="shared" si="8"/>
        <v>12</v>
      </c>
    </row>
    <row r="143" spans="1:5">
      <c r="A143" s="4" t="s">
        <v>168</v>
      </c>
      <c r="B143" s="610" t="s">
        <v>165</v>
      </c>
      <c r="C143" s="610">
        <v>2</v>
      </c>
      <c r="D143" s="610">
        <v>2</v>
      </c>
      <c r="E143" s="613">
        <f t="shared" si="8"/>
        <v>4</v>
      </c>
    </row>
    <row r="144" spans="1:5">
      <c r="A144" s="4" t="s">
        <v>21</v>
      </c>
      <c r="B144" s="610" t="s">
        <v>165</v>
      </c>
      <c r="C144" s="610">
        <v>4</v>
      </c>
      <c r="D144" s="610">
        <v>3</v>
      </c>
      <c r="E144" s="613">
        <f t="shared" si="8"/>
        <v>12</v>
      </c>
    </row>
    <row r="145" spans="1:5">
      <c r="A145" s="4" t="s">
        <v>243</v>
      </c>
      <c r="B145" s="610" t="s">
        <v>165</v>
      </c>
      <c r="C145" s="610">
        <v>3</v>
      </c>
      <c r="D145" s="610">
        <v>2</v>
      </c>
      <c r="E145" s="613">
        <f t="shared" si="8"/>
        <v>6</v>
      </c>
    </row>
    <row r="146" spans="1:5">
      <c r="A146" s="4" t="s">
        <v>22</v>
      </c>
      <c r="B146" s="610" t="s">
        <v>165</v>
      </c>
      <c r="C146" s="610">
        <v>4</v>
      </c>
      <c r="D146" s="610">
        <v>3</v>
      </c>
      <c r="E146" s="613">
        <f t="shared" si="8"/>
        <v>12</v>
      </c>
    </row>
    <row r="147" spans="1:5">
      <c r="A147" s="4" t="s">
        <v>244</v>
      </c>
      <c r="B147" s="610" t="s">
        <v>165</v>
      </c>
      <c r="C147" s="610">
        <v>2</v>
      </c>
      <c r="D147" s="610">
        <v>2</v>
      </c>
      <c r="E147" s="613">
        <f t="shared" si="8"/>
        <v>4</v>
      </c>
    </row>
    <row r="148" spans="1:5">
      <c r="A148" s="4" t="s">
        <v>24</v>
      </c>
      <c r="B148" s="610" t="s">
        <v>165</v>
      </c>
      <c r="C148" s="610">
        <v>5</v>
      </c>
      <c r="D148" s="610">
        <v>3</v>
      </c>
      <c r="E148" s="613">
        <f t="shared" si="8"/>
        <v>15</v>
      </c>
    </row>
    <row r="149" spans="1:5">
      <c r="A149" s="4" t="s">
        <v>26</v>
      </c>
      <c r="B149" s="610" t="s">
        <v>165</v>
      </c>
      <c r="C149" s="610">
        <v>5</v>
      </c>
      <c r="D149" s="610">
        <v>3</v>
      </c>
      <c r="E149" s="613">
        <f t="shared" si="8"/>
        <v>15</v>
      </c>
    </row>
    <row r="150" spans="1:5">
      <c r="A150" s="4" t="s">
        <v>239</v>
      </c>
      <c r="B150" s="610" t="s">
        <v>165</v>
      </c>
      <c r="C150" s="610">
        <v>5</v>
      </c>
      <c r="D150" s="610">
        <v>3</v>
      </c>
      <c r="E150" s="613">
        <f t="shared" si="8"/>
        <v>15</v>
      </c>
    </row>
    <row r="151" spans="1:5">
      <c r="A151" s="4" t="s">
        <v>89</v>
      </c>
      <c r="B151" s="610" t="s">
        <v>165</v>
      </c>
      <c r="C151" s="610">
        <v>4</v>
      </c>
      <c r="D151" s="610">
        <v>3</v>
      </c>
      <c r="E151" s="613">
        <f t="shared" si="8"/>
        <v>12</v>
      </c>
    </row>
    <row r="152" spans="1:5">
      <c r="A152" s="1" t="s">
        <v>245</v>
      </c>
      <c r="B152" s="342" t="s">
        <v>165</v>
      </c>
      <c r="C152" s="342">
        <v>1</v>
      </c>
      <c r="D152" s="342">
        <v>2</v>
      </c>
      <c r="E152" s="357">
        <f t="shared" si="8"/>
        <v>2</v>
      </c>
    </row>
    <row r="153" spans="1:5">
      <c r="C153" s="610"/>
      <c r="D153" s="610"/>
      <c r="E153" s="613">
        <f>SUM(E133:E152)</f>
        <v>200</v>
      </c>
    </row>
    <row r="154" spans="1:5">
      <c r="B154" s="11"/>
    </row>
    <row r="155" spans="1:5">
      <c r="B155" s="11"/>
    </row>
    <row r="156" spans="1:5">
      <c r="A156" t="s">
        <v>172</v>
      </c>
    </row>
    <row r="158" spans="1:5">
      <c r="A158" s="4" t="s">
        <v>246</v>
      </c>
      <c r="B158" s="11" t="s">
        <v>536</v>
      </c>
      <c r="C158" s="4" t="s">
        <v>262</v>
      </c>
      <c r="D158" s="15" t="s">
        <v>537</v>
      </c>
    </row>
    <row r="159" spans="1:5">
      <c r="A159" s="1" t="s">
        <v>364</v>
      </c>
      <c r="B159" s="342" t="s">
        <v>112</v>
      </c>
      <c r="C159" s="1" t="s">
        <v>366</v>
      </c>
      <c r="D159" s="2" t="s">
        <v>538</v>
      </c>
    </row>
    <row r="160" spans="1:5">
      <c r="A160" s="4"/>
      <c r="B160" s="614"/>
      <c r="C160" s="379"/>
      <c r="D160" s="610"/>
    </row>
    <row r="161" spans="1:4">
      <c r="A161" s="140" t="s">
        <v>6</v>
      </c>
      <c r="B161" s="221">
        <f>'Spacers I'!B216</f>
        <v>2.4E-2</v>
      </c>
      <c r="C161" s="379">
        <f>E105+E109+E77</f>
        <v>168</v>
      </c>
      <c r="D161" s="610"/>
    </row>
    <row r="162" spans="1:4">
      <c r="A162" s="130" t="s">
        <v>164</v>
      </c>
      <c r="B162" s="432">
        <f>'Spacers I'!B217</f>
        <v>2.4E-2</v>
      </c>
      <c r="C162" s="393">
        <f>E106+E78</f>
        <v>52</v>
      </c>
      <c r="D162" s="610">
        <f>C161+C162</f>
        <v>220</v>
      </c>
    </row>
    <row r="163" spans="1:4">
      <c r="A163" s="653" t="s">
        <v>9</v>
      </c>
      <c r="B163" s="658">
        <f>'Spacers I'!B218</f>
        <v>2.3E-2</v>
      </c>
      <c r="C163" s="663">
        <f>E79</f>
        <v>132</v>
      </c>
      <c r="D163" s="664">
        <f>C163</f>
        <v>132</v>
      </c>
    </row>
    <row r="164" spans="1:4">
      <c r="A164" s="653" t="s">
        <v>165</v>
      </c>
      <c r="B164" s="658">
        <f>'Spacers I'!B219</f>
        <v>2.1999999999999999E-2</v>
      </c>
      <c r="C164" s="663">
        <f>E153+E107+E108+E80</f>
        <v>260</v>
      </c>
      <c r="D164" s="664">
        <f t="shared" ref="D164:D169" si="9">C164</f>
        <v>260</v>
      </c>
    </row>
    <row r="165" spans="1:4">
      <c r="A165" s="653" t="s">
        <v>11</v>
      </c>
      <c r="B165" s="658">
        <f>'Spacers I'!B220</f>
        <v>2.7E-2</v>
      </c>
      <c r="C165" s="663">
        <f>E81</f>
        <v>120</v>
      </c>
      <c r="D165" s="664">
        <f t="shared" si="9"/>
        <v>120</v>
      </c>
    </row>
    <row r="166" spans="1:4">
      <c r="A166" s="653" t="s">
        <v>226</v>
      </c>
      <c r="B166" s="658">
        <f>'Spacers I'!B221</f>
        <v>2.5999999999999999E-2</v>
      </c>
      <c r="C166" s="663">
        <f>E110+E82</f>
        <v>22</v>
      </c>
      <c r="D166" s="664">
        <f t="shared" si="9"/>
        <v>22</v>
      </c>
    </row>
    <row r="167" spans="1:4">
      <c r="A167" s="490" t="s">
        <v>13</v>
      </c>
      <c r="B167" s="658">
        <f>'Spacers I'!B222</f>
        <v>3.1E-2</v>
      </c>
      <c r="C167" s="663">
        <f>E111+E83</f>
        <v>150</v>
      </c>
      <c r="D167" s="664">
        <f t="shared" si="9"/>
        <v>150</v>
      </c>
    </row>
    <row r="168" spans="1:4">
      <c r="A168" s="490" t="s">
        <v>15</v>
      </c>
      <c r="B168" s="658">
        <f>'Spacers I'!B223</f>
        <v>3.2000000000000001E-2</v>
      </c>
      <c r="C168" s="663">
        <f>E113+E112+E84</f>
        <v>150</v>
      </c>
      <c r="D168" s="664">
        <f t="shared" si="9"/>
        <v>150</v>
      </c>
    </row>
    <row r="169" spans="1:4">
      <c r="A169" s="490" t="s">
        <v>17</v>
      </c>
      <c r="B169" s="658">
        <f>'Spacers I'!B224</f>
        <v>3.4000000000000002E-2</v>
      </c>
      <c r="C169" s="663">
        <f>E114+E85</f>
        <v>117</v>
      </c>
      <c r="D169" s="664">
        <f t="shared" si="9"/>
        <v>117</v>
      </c>
    </row>
    <row r="170" spans="1:4">
      <c r="A170" s="491" t="s">
        <v>19</v>
      </c>
      <c r="B170" s="659">
        <f>'Spacers I'!B225</f>
        <v>3.7999999999999999E-2</v>
      </c>
      <c r="C170" s="612">
        <f>E86</f>
        <v>72</v>
      </c>
      <c r="D170" s="610"/>
    </row>
    <row r="171" spans="1:4">
      <c r="A171" s="1" t="s">
        <v>168</v>
      </c>
      <c r="B171" s="432">
        <f>'Spacers I'!B226</f>
        <v>3.7999999999999999E-2</v>
      </c>
      <c r="C171" s="393">
        <f>E115+E87</f>
        <v>28</v>
      </c>
      <c r="D171" s="357">
        <f>C170+C171</f>
        <v>100</v>
      </c>
    </row>
    <row r="172" spans="1:4">
      <c r="A172" s="491" t="s">
        <v>21</v>
      </c>
      <c r="B172" s="659">
        <f>'Spacers I'!B227</f>
        <v>4.3999999999999997E-2</v>
      </c>
      <c r="C172" s="612">
        <f>E116+E88</f>
        <v>72</v>
      </c>
      <c r="D172" s="610"/>
    </row>
    <row r="173" spans="1:4">
      <c r="A173" s="1" t="s">
        <v>243</v>
      </c>
      <c r="B173" s="432">
        <f>'Spacers I'!B228</f>
        <v>4.3999999999999997E-2</v>
      </c>
      <c r="C173" s="393">
        <f>E117+E89</f>
        <v>36</v>
      </c>
      <c r="D173" s="610">
        <f>C173+C172</f>
        <v>108</v>
      </c>
    </row>
    <row r="174" spans="1:4">
      <c r="A174" s="490" t="s">
        <v>22</v>
      </c>
      <c r="B174" s="658">
        <f>'Spacers I'!B229</f>
        <v>0.05</v>
      </c>
      <c r="C174" s="663">
        <f>E119+E118+E90</f>
        <v>64</v>
      </c>
      <c r="D174" s="664">
        <f>C174</f>
        <v>64</v>
      </c>
    </row>
    <row r="175" spans="1:4">
      <c r="A175" s="490" t="s">
        <v>244</v>
      </c>
      <c r="B175" s="658">
        <f>'Spacers I'!B230</f>
        <v>5.1999999999999998E-2</v>
      </c>
      <c r="C175" s="663">
        <f>E91</f>
        <v>16</v>
      </c>
      <c r="D175" s="664">
        <f t="shared" ref="D175:D180" si="10">C175</f>
        <v>16</v>
      </c>
    </row>
    <row r="176" spans="1:4">
      <c r="A176" s="490" t="s">
        <v>24</v>
      </c>
      <c r="B176" s="658">
        <f>'Spacers I'!B231</f>
        <v>6.7000000000000004E-2</v>
      </c>
      <c r="C176" s="663">
        <f>E120+E92</f>
        <v>60</v>
      </c>
      <c r="D176" s="664">
        <f t="shared" si="10"/>
        <v>60</v>
      </c>
    </row>
    <row r="177" spans="1:4">
      <c r="A177" s="490" t="s">
        <v>26</v>
      </c>
      <c r="B177" s="658">
        <f>'Spacers I'!B232</f>
        <v>9.1999999999999998E-2</v>
      </c>
      <c r="C177" s="663">
        <f>E121+E93</f>
        <v>45</v>
      </c>
      <c r="D177" s="664">
        <f t="shared" si="10"/>
        <v>45</v>
      </c>
    </row>
    <row r="178" spans="1:4">
      <c r="A178" s="490" t="s">
        <v>239</v>
      </c>
      <c r="B178" s="658">
        <f>'Spacers I'!B233</f>
        <v>0.121</v>
      </c>
      <c r="C178" s="663">
        <f>E122+E94</f>
        <v>30</v>
      </c>
      <c r="D178" s="664">
        <f t="shared" si="10"/>
        <v>30</v>
      </c>
    </row>
    <row r="179" spans="1:4">
      <c r="A179" s="490" t="s">
        <v>89</v>
      </c>
      <c r="B179" s="658">
        <f>'Spacers I'!B234</f>
        <v>0.25</v>
      </c>
      <c r="C179" s="663">
        <f>E123</f>
        <v>12</v>
      </c>
      <c r="D179" s="664">
        <f t="shared" si="10"/>
        <v>12</v>
      </c>
    </row>
    <row r="180" spans="1:4">
      <c r="A180" s="490" t="s">
        <v>245</v>
      </c>
      <c r="B180" s="660">
        <f>'Spacers I'!B235</f>
        <v>0.247</v>
      </c>
      <c r="C180" s="663">
        <f>E124</f>
        <v>2</v>
      </c>
      <c r="D180" s="664">
        <f t="shared" si="10"/>
        <v>2</v>
      </c>
    </row>
    <row r="181" spans="1:4">
      <c r="C181" s="379">
        <f>SUM(C161:C180)</f>
        <v>1608</v>
      </c>
      <c r="D181" s="528">
        <f>SUM(D161:D180)</f>
        <v>1608</v>
      </c>
    </row>
  </sheetData>
  <pageMargins left="0.25" right="0.25" top="0.25" bottom="0.25" header="0.3" footer="0.3"/>
  <pageSetup scale="71" orientation="landscape" r:id="rId1"/>
  <rowBreaks count="2" manualBreakCount="2">
    <brk id="42" max="16383" man="1"/>
    <brk id="98" max="16383" man="1"/>
  </rowBreaks>
</worksheet>
</file>

<file path=xl/worksheets/sheet29.xml><?xml version="1.0" encoding="utf-8"?>
<worksheet xmlns="http://schemas.openxmlformats.org/spreadsheetml/2006/main" xmlns:r="http://schemas.openxmlformats.org/officeDocument/2006/relationships">
  <dimension ref="A1:N97"/>
  <sheetViews>
    <sheetView view="pageBreakPreview" topLeftCell="A11" zoomScale="60" zoomScaleNormal="75" workbookViewId="0">
      <selection activeCell="S60" sqref="S60"/>
    </sheetView>
  </sheetViews>
  <sheetFormatPr defaultRowHeight="15"/>
  <cols>
    <col min="2" max="2" width="12.140625" bestFit="1" customWidth="1"/>
    <col min="3" max="3" width="13.28515625" bestFit="1" customWidth="1"/>
    <col min="4" max="4" width="11.140625" bestFit="1" customWidth="1"/>
    <col min="5" max="5" width="10.42578125" bestFit="1" customWidth="1"/>
    <col min="10" max="10" width="12.85546875" bestFit="1" customWidth="1"/>
    <col min="11" max="11" width="10.42578125" bestFit="1" customWidth="1"/>
    <col min="12" max="12" width="15.5703125" bestFit="1" customWidth="1"/>
  </cols>
  <sheetData>
    <row r="1" spans="1:11" ht="21">
      <c r="A1" s="650" t="s">
        <v>564</v>
      </c>
      <c r="B1" s="526"/>
      <c r="C1" s="526"/>
      <c r="D1" s="526"/>
      <c r="E1" s="526"/>
      <c r="F1" s="526"/>
      <c r="G1" s="526"/>
      <c r="H1" s="526"/>
      <c r="I1" s="526"/>
      <c r="J1" s="526"/>
      <c r="K1" s="526"/>
    </row>
    <row r="2" spans="1:11">
      <c r="A2" t="s">
        <v>558</v>
      </c>
    </row>
    <row r="4" spans="1:11">
      <c r="A4" t="s">
        <v>565</v>
      </c>
    </row>
    <row r="7" spans="1:11">
      <c r="A7" t="s">
        <v>393</v>
      </c>
    </row>
    <row r="8" spans="1:11">
      <c r="A8" t="s">
        <v>394</v>
      </c>
    </row>
    <row r="9" spans="1:11">
      <c r="A9" t="s">
        <v>566</v>
      </c>
    </row>
    <row r="10" spans="1:11">
      <c r="A10" t="s">
        <v>557</v>
      </c>
    </row>
    <row r="11" spans="1:11" ht="15.75" thickBot="1"/>
    <row r="12" spans="1:11" ht="15.75" thickTop="1">
      <c r="A12" s="498"/>
      <c r="B12" s="499"/>
      <c r="C12" s="499"/>
      <c r="D12" s="499"/>
      <c r="E12" s="499"/>
      <c r="F12" s="500"/>
    </row>
    <row r="13" spans="1:11">
      <c r="A13" s="501"/>
      <c r="B13" s="11"/>
      <c r="C13" s="11"/>
      <c r="D13" s="11"/>
      <c r="E13" s="11"/>
      <c r="F13" s="502"/>
    </row>
    <row r="14" spans="1:11" ht="26.25">
      <c r="A14" s="503" t="s">
        <v>388</v>
      </c>
      <c r="B14" s="11"/>
      <c r="C14" s="11"/>
      <c r="D14" s="11"/>
      <c r="E14" s="11"/>
      <c r="F14" s="502"/>
    </row>
    <row r="15" spans="1:11">
      <c r="A15" s="501"/>
      <c r="B15" s="11"/>
      <c r="C15" s="11"/>
      <c r="D15" s="11"/>
      <c r="E15" s="11"/>
      <c r="F15" s="502"/>
    </row>
    <row r="16" spans="1:11">
      <c r="A16" s="505" t="s">
        <v>535</v>
      </c>
      <c r="B16" s="4" t="s">
        <v>559</v>
      </c>
      <c r="C16" s="4" t="s">
        <v>372</v>
      </c>
      <c r="D16" s="45" t="s">
        <v>552</v>
      </c>
      <c r="E16" s="15" t="s">
        <v>554</v>
      </c>
      <c r="F16" s="502"/>
    </row>
    <row r="17" spans="1:6">
      <c r="A17" s="506" t="s">
        <v>364</v>
      </c>
      <c r="B17" s="1" t="s">
        <v>112</v>
      </c>
      <c r="C17" s="1" t="s">
        <v>366</v>
      </c>
      <c r="D17" s="46" t="s">
        <v>553</v>
      </c>
      <c r="E17" s="661" t="s">
        <v>555</v>
      </c>
      <c r="F17" s="502"/>
    </row>
    <row r="18" spans="1:6">
      <c r="A18" s="505"/>
      <c r="B18" s="48"/>
      <c r="C18" s="4"/>
      <c r="D18" s="45"/>
      <c r="E18" s="48"/>
      <c r="F18" s="502"/>
    </row>
    <row r="19" spans="1:6">
      <c r="A19" s="692" t="s">
        <v>6</v>
      </c>
      <c r="B19" s="688">
        <f>'Spacers I'!B114</f>
        <v>2.4E-2</v>
      </c>
      <c r="C19" s="678">
        <f>L49</f>
        <v>156</v>
      </c>
      <c r="D19" s="674"/>
      <c r="E19" s="665"/>
      <c r="F19" s="502"/>
    </row>
    <row r="20" spans="1:6">
      <c r="A20" s="693" t="s">
        <v>164</v>
      </c>
      <c r="B20" s="689">
        <f>'Spacers I'!B115</f>
        <v>2.4E-2</v>
      </c>
      <c r="C20" s="342">
        <f t="shared" ref="C20:C38" si="0">L50</f>
        <v>52</v>
      </c>
      <c r="D20" s="357">
        <f>M50</f>
        <v>208</v>
      </c>
      <c r="E20" s="686">
        <v>213</v>
      </c>
      <c r="F20" s="502"/>
    </row>
    <row r="21" spans="1:6">
      <c r="A21" s="694" t="s">
        <v>9</v>
      </c>
      <c r="B21" s="690">
        <f>'Spacers I'!B116</f>
        <v>2.24E-2</v>
      </c>
      <c r="C21" s="676">
        <f t="shared" si="0"/>
        <v>144</v>
      </c>
      <c r="D21" s="609"/>
      <c r="E21" s="687"/>
      <c r="F21" s="502"/>
    </row>
    <row r="22" spans="1:6">
      <c r="A22" s="693" t="s">
        <v>165</v>
      </c>
      <c r="B22" s="689">
        <f>'Spacers I'!B117</f>
        <v>2.24E-2</v>
      </c>
      <c r="C22" s="342">
        <f t="shared" si="0"/>
        <v>248</v>
      </c>
      <c r="D22" s="357">
        <f t="shared" ref="D22:D38" si="1">M52</f>
        <v>392</v>
      </c>
      <c r="E22" s="686">
        <v>402</v>
      </c>
      <c r="F22" s="502"/>
    </row>
    <row r="23" spans="1:6">
      <c r="A23" s="695" t="s">
        <v>11</v>
      </c>
      <c r="B23" s="691">
        <f>'Spacers I'!B118</f>
        <v>2.6800000000000001E-2</v>
      </c>
      <c r="C23" s="681">
        <f t="shared" si="0"/>
        <v>132</v>
      </c>
      <c r="D23" s="664">
        <f t="shared" si="1"/>
        <v>132</v>
      </c>
      <c r="E23" s="686">
        <v>135</v>
      </c>
      <c r="F23" s="502"/>
    </row>
    <row r="24" spans="1:6">
      <c r="A24" s="695" t="s">
        <v>226</v>
      </c>
      <c r="B24" s="691">
        <f>'Spacers I'!B119</f>
        <v>2.6200000000000001E-2</v>
      </c>
      <c r="C24" s="681">
        <f t="shared" si="0"/>
        <v>22</v>
      </c>
      <c r="D24" s="664">
        <f t="shared" si="1"/>
        <v>22</v>
      </c>
      <c r="E24" s="686">
        <f t="shared" ref="E24:E37" si="2">D24*1.05</f>
        <v>23.1</v>
      </c>
      <c r="F24" s="502"/>
    </row>
    <row r="25" spans="1:6">
      <c r="A25" s="507" t="s">
        <v>13</v>
      </c>
      <c r="B25" s="691">
        <f>'Spacers I'!B120</f>
        <v>3.1399999999999997E-2</v>
      </c>
      <c r="C25" s="681">
        <f t="shared" si="0"/>
        <v>150</v>
      </c>
      <c r="D25" s="664">
        <f t="shared" si="1"/>
        <v>150</v>
      </c>
      <c r="E25" s="686">
        <v>152</v>
      </c>
      <c r="F25" s="502"/>
    </row>
    <row r="26" spans="1:6">
      <c r="A26" s="507" t="s">
        <v>15</v>
      </c>
      <c r="B26" s="691">
        <f>'Spacers I'!B121</f>
        <v>3.2000000000000001E-2</v>
      </c>
      <c r="C26" s="681">
        <f t="shared" si="0"/>
        <v>135</v>
      </c>
      <c r="D26" s="664">
        <f t="shared" si="1"/>
        <v>135</v>
      </c>
      <c r="E26" s="686">
        <v>137</v>
      </c>
      <c r="F26" s="502"/>
    </row>
    <row r="27" spans="1:6">
      <c r="A27" s="507" t="s">
        <v>17</v>
      </c>
      <c r="B27" s="691">
        <f>'Spacers I'!B122</f>
        <v>3.3700000000000001E-2</v>
      </c>
      <c r="C27" s="681">
        <f t="shared" si="0"/>
        <v>120</v>
      </c>
      <c r="D27" s="664">
        <f t="shared" si="1"/>
        <v>120</v>
      </c>
      <c r="E27" s="686">
        <v>122</v>
      </c>
      <c r="F27" s="502"/>
    </row>
    <row r="28" spans="1:6">
      <c r="A28" s="507" t="s">
        <v>19</v>
      </c>
      <c r="B28" s="691">
        <f>'Spacers I'!B123</f>
        <v>3.7900000000000003E-2</v>
      </c>
      <c r="C28" s="681">
        <f t="shared" si="0"/>
        <v>84</v>
      </c>
      <c r="D28" s="664">
        <f t="shared" si="1"/>
        <v>84</v>
      </c>
      <c r="E28" s="686">
        <v>85</v>
      </c>
      <c r="F28" s="502"/>
    </row>
    <row r="29" spans="1:6">
      <c r="A29" s="507" t="s">
        <v>168</v>
      </c>
      <c r="B29" s="691">
        <f>'Spacers I'!B124</f>
        <v>3.8300000000000001E-2</v>
      </c>
      <c r="C29" s="681">
        <f t="shared" si="0"/>
        <v>28</v>
      </c>
      <c r="D29" s="664">
        <f t="shared" si="1"/>
        <v>28</v>
      </c>
      <c r="E29" s="686">
        <f t="shared" si="2"/>
        <v>29.400000000000002</v>
      </c>
      <c r="F29" s="502"/>
    </row>
    <row r="30" spans="1:6">
      <c r="A30" s="508" t="s">
        <v>21</v>
      </c>
      <c r="B30" s="690">
        <f>'Spacers I'!B125</f>
        <v>4.48E-2</v>
      </c>
      <c r="C30" s="676">
        <f t="shared" si="0"/>
        <v>72</v>
      </c>
      <c r="D30" s="609"/>
      <c r="E30" s="687"/>
      <c r="F30" s="502"/>
    </row>
    <row r="31" spans="1:6">
      <c r="A31" s="506" t="s">
        <v>243</v>
      </c>
      <c r="B31" s="689">
        <f>'Spacers I'!B126</f>
        <v>4.48E-2</v>
      </c>
      <c r="C31" s="342">
        <f t="shared" si="0"/>
        <v>36</v>
      </c>
      <c r="D31" s="357">
        <f t="shared" si="1"/>
        <v>108</v>
      </c>
      <c r="E31" s="686">
        <v>110</v>
      </c>
      <c r="F31" s="502"/>
    </row>
    <row r="32" spans="1:6">
      <c r="A32" s="507" t="s">
        <v>22</v>
      </c>
      <c r="B32" s="691">
        <f>'Spacers I'!B127</f>
        <v>0.05</v>
      </c>
      <c r="C32" s="681">
        <f t="shared" si="0"/>
        <v>60</v>
      </c>
      <c r="D32" s="664">
        <f t="shared" si="1"/>
        <v>60</v>
      </c>
      <c r="E32" s="686">
        <v>61</v>
      </c>
      <c r="F32" s="502"/>
    </row>
    <row r="33" spans="1:13">
      <c r="A33" s="507" t="s">
        <v>244</v>
      </c>
      <c r="B33" s="691">
        <f>'Spacers I'!B128</f>
        <v>5.0999999999999997E-2</v>
      </c>
      <c r="C33" s="681">
        <f t="shared" si="0"/>
        <v>20</v>
      </c>
      <c r="D33" s="664">
        <f t="shared" si="1"/>
        <v>20</v>
      </c>
      <c r="E33" s="686">
        <f t="shared" si="2"/>
        <v>21</v>
      </c>
      <c r="F33" s="502"/>
    </row>
    <row r="34" spans="1:13">
      <c r="A34" s="507" t="s">
        <v>24</v>
      </c>
      <c r="B34" s="691">
        <f>'Spacers I'!B129</f>
        <v>6.7199999999999996E-2</v>
      </c>
      <c r="C34" s="681">
        <f t="shared" si="0"/>
        <v>60</v>
      </c>
      <c r="D34" s="664">
        <f t="shared" si="1"/>
        <v>60</v>
      </c>
      <c r="E34" s="686">
        <v>61</v>
      </c>
      <c r="F34" s="502"/>
    </row>
    <row r="35" spans="1:13">
      <c r="A35" s="507" t="s">
        <v>26</v>
      </c>
      <c r="B35" s="691">
        <f>'Spacers I'!B130</f>
        <v>9.2299999999999993E-2</v>
      </c>
      <c r="C35" s="681">
        <f t="shared" si="0"/>
        <v>45</v>
      </c>
      <c r="D35" s="664">
        <f t="shared" si="1"/>
        <v>45</v>
      </c>
      <c r="E35" s="686">
        <v>46</v>
      </c>
      <c r="F35" s="502"/>
    </row>
    <row r="36" spans="1:13">
      <c r="A36" s="507" t="s">
        <v>239</v>
      </c>
      <c r="B36" s="691">
        <f>'Spacers I'!B131</f>
        <v>0.121</v>
      </c>
      <c r="C36" s="681">
        <f t="shared" si="0"/>
        <v>30</v>
      </c>
      <c r="D36" s="664">
        <f t="shared" si="1"/>
        <v>30</v>
      </c>
      <c r="E36" s="686">
        <v>31</v>
      </c>
      <c r="F36" s="502"/>
    </row>
    <row r="37" spans="1:13">
      <c r="A37" s="507" t="s">
        <v>89</v>
      </c>
      <c r="B37" s="691">
        <f>'Spacers I'!B132</f>
        <v>0.25</v>
      </c>
      <c r="C37" s="681">
        <f t="shared" si="0"/>
        <v>12</v>
      </c>
      <c r="D37" s="664">
        <f t="shared" si="1"/>
        <v>12</v>
      </c>
      <c r="E37" s="686">
        <f t="shared" si="2"/>
        <v>12.600000000000001</v>
      </c>
      <c r="F37" s="502"/>
    </row>
    <row r="38" spans="1:13">
      <c r="A38" s="507" t="s">
        <v>245</v>
      </c>
      <c r="B38" s="691">
        <f>'Spacers I'!B133</f>
        <v>0.247</v>
      </c>
      <c r="C38" s="681">
        <f t="shared" si="0"/>
        <v>2</v>
      </c>
      <c r="D38" s="664">
        <f t="shared" si="1"/>
        <v>2</v>
      </c>
      <c r="E38" s="686">
        <v>3</v>
      </c>
      <c r="F38" s="502"/>
    </row>
    <row r="39" spans="1:13">
      <c r="A39" s="501"/>
      <c r="B39" s="324"/>
      <c r="C39" s="379">
        <f>SUM(C19:C38)</f>
        <v>1608</v>
      </c>
      <c r="D39" s="665">
        <f>SUM(D20:D38)</f>
        <v>1608</v>
      </c>
      <c r="E39" s="629">
        <f>SUM(E20:E38)</f>
        <v>1644.1</v>
      </c>
      <c r="F39" s="502"/>
    </row>
    <row r="40" spans="1:13" ht="15.75" thickBot="1">
      <c r="A40" s="509"/>
      <c r="B40" s="510"/>
      <c r="C40" s="510"/>
      <c r="D40" s="510"/>
      <c r="E40" s="510"/>
      <c r="F40" s="511"/>
    </row>
    <row r="41" spans="1:13" ht="15.75" thickTop="1"/>
    <row r="44" spans="1:13">
      <c r="A44" t="s">
        <v>551</v>
      </c>
      <c r="J44" t="s">
        <v>172</v>
      </c>
    </row>
    <row r="46" spans="1:13">
      <c r="A46" s="11" t="s">
        <v>246</v>
      </c>
      <c r="B46" s="5" t="s">
        <v>549</v>
      </c>
      <c r="C46" s="11" t="s">
        <v>254</v>
      </c>
      <c r="D46" s="78" t="s">
        <v>367</v>
      </c>
      <c r="E46" s="651" t="s">
        <v>262</v>
      </c>
      <c r="J46" s="4" t="s">
        <v>246</v>
      </c>
      <c r="K46" s="11" t="s">
        <v>536</v>
      </c>
      <c r="L46" s="4" t="s">
        <v>262</v>
      </c>
      <c r="M46" s="15" t="s">
        <v>537</v>
      </c>
    </row>
    <row r="47" spans="1:13">
      <c r="A47" s="32" t="s">
        <v>364</v>
      </c>
      <c r="B47" s="155" t="s">
        <v>263</v>
      </c>
      <c r="C47" s="32" t="s">
        <v>266</v>
      </c>
      <c r="D47" s="32" t="s">
        <v>368</v>
      </c>
      <c r="E47" s="2" t="s">
        <v>550</v>
      </c>
      <c r="J47" s="1" t="s">
        <v>364</v>
      </c>
      <c r="K47" s="342" t="s">
        <v>112</v>
      </c>
      <c r="L47" s="1" t="s">
        <v>366</v>
      </c>
      <c r="M47" s="2" t="s">
        <v>538</v>
      </c>
    </row>
    <row r="48" spans="1:13">
      <c r="B48" s="139"/>
      <c r="D48" s="66"/>
      <c r="E48" s="139"/>
      <c r="J48" s="4"/>
      <c r="K48" s="678"/>
      <c r="L48" s="379"/>
      <c r="M48" s="675"/>
    </row>
    <row r="49" spans="1:13">
      <c r="A49" s="66" t="s">
        <v>6</v>
      </c>
      <c r="B49" s="356">
        <v>13</v>
      </c>
      <c r="C49" s="222">
        <v>4</v>
      </c>
      <c r="D49" s="222">
        <v>3</v>
      </c>
      <c r="E49" s="356">
        <f>(B49+1)*C49*D49</f>
        <v>168</v>
      </c>
      <c r="G49" s="32" t="s">
        <v>539</v>
      </c>
      <c r="H49" s="32"/>
      <c r="J49" s="140" t="s">
        <v>6</v>
      </c>
      <c r="K49" s="682">
        <f>'Spacers I'!B114</f>
        <v>2.4E-2</v>
      </c>
      <c r="L49" s="678">
        <f>E77</f>
        <v>156</v>
      </c>
      <c r="M49" s="674"/>
    </row>
    <row r="50" spans="1:13">
      <c r="A50" s="66" t="s">
        <v>164</v>
      </c>
      <c r="B50" s="356">
        <v>13</v>
      </c>
      <c r="C50" s="222">
        <v>2</v>
      </c>
      <c r="D50" s="222">
        <v>2</v>
      </c>
      <c r="E50" s="356">
        <f t="shared" ref="E50:E68" si="3">(B50+1)*C50*D50</f>
        <v>56</v>
      </c>
      <c r="G50" t="s">
        <v>370</v>
      </c>
      <c r="J50" s="130" t="s">
        <v>164</v>
      </c>
      <c r="K50" s="683">
        <f>'Spacers I'!B115</f>
        <v>2.4E-2</v>
      </c>
      <c r="L50" s="342">
        <f>E78</f>
        <v>52</v>
      </c>
      <c r="M50" s="357">
        <f>L49+L50</f>
        <v>208</v>
      </c>
    </row>
    <row r="51" spans="1:13">
      <c r="A51" s="66" t="s">
        <v>9</v>
      </c>
      <c r="B51" s="356">
        <v>12</v>
      </c>
      <c r="C51" s="222">
        <v>4</v>
      </c>
      <c r="D51" s="222">
        <v>3</v>
      </c>
      <c r="E51" s="356">
        <f t="shared" si="3"/>
        <v>156</v>
      </c>
      <c r="G51" t="s">
        <v>371</v>
      </c>
      <c r="J51" s="280" t="s">
        <v>9</v>
      </c>
      <c r="K51" s="684">
        <f>'Spacers I'!B116</f>
        <v>2.24E-2</v>
      </c>
      <c r="L51" s="676">
        <f>E79</f>
        <v>144</v>
      </c>
      <c r="M51" s="609"/>
    </row>
    <row r="52" spans="1:13">
      <c r="A52" s="66" t="s">
        <v>165</v>
      </c>
      <c r="B52" s="356">
        <v>12</v>
      </c>
      <c r="C52" s="222">
        <v>2</v>
      </c>
      <c r="D52" s="224">
        <v>2</v>
      </c>
      <c r="E52" s="356">
        <f t="shared" si="3"/>
        <v>52</v>
      </c>
      <c r="J52" s="130" t="s">
        <v>165</v>
      </c>
      <c r="K52" s="683">
        <f>'Spacers I'!B117</f>
        <v>2.24E-2</v>
      </c>
      <c r="L52" s="342">
        <f>E80+N97</f>
        <v>248</v>
      </c>
      <c r="M52" s="357">
        <f>L51+L52</f>
        <v>392</v>
      </c>
    </row>
    <row r="53" spans="1:13">
      <c r="A53" s="66" t="s">
        <v>11</v>
      </c>
      <c r="B53" s="356">
        <v>11</v>
      </c>
      <c r="C53" s="222">
        <v>4</v>
      </c>
      <c r="D53" s="224">
        <v>3</v>
      </c>
      <c r="E53" s="356">
        <f t="shared" si="3"/>
        <v>144</v>
      </c>
      <c r="J53" s="653" t="s">
        <v>11</v>
      </c>
      <c r="K53" s="685">
        <f>'Spacers I'!B118</f>
        <v>2.6800000000000001E-2</v>
      </c>
      <c r="L53" s="681">
        <f t="shared" ref="L53:L68" si="4">E81</f>
        <v>132</v>
      </c>
      <c r="M53" s="664">
        <f>L53</f>
        <v>132</v>
      </c>
    </row>
    <row r="54" spans="1:13">
      <c r="A54" s="66" t="s">
        <v>226</v>
      </c>
      <c r="B54" s="356">
        <v>11</v>
      </c>
      <c r="C54" s="222">
        <v>1</v>
      </c>
      <c r="D54" s="224">
        <v>2</v>
      </c>
      <c r="E54" s="356">
        <f t="shared" si="3"/>
        <v>24</v>
      </c>
      <c r="J54" s="653" t="s">
        <v>226</v>
      </c>
      <c r="K54" s="685">
        <f>'Spacers I'!B119</f>
        <v>2.6200000000000001E-2</v>
      </c>
      <c r="L54" s="681">
        <f t="shared" si="4"/>
        <v>22</v>
      </c>
      <c r="M54" s="664">
        <f t="shared" ref="M54:M59" si="5">L54</f>
        <v>22</v>
      </c>
    </row>
    <row r="55" spans="1:13">
      <c r="A55" s="11" t="s">
        <v>13</v>
      </c>
      <c r="B55" s="356">
        <v>10</v>
      </c>
      <c r="C55" s="678">
        <v>5</v>
      </c>
      <c r="D55" s="224">
        <v>3</v>
      </c>
      <c r="E55" s="356">
        <f t="shared" si="3"/>
        <v>165</v>
      </c>
      <c r="J55" s="490" t="s">
        <v>13</v>
      </c>
      <c r="K55" s="685">
        <f>'Spacers I'!B120</f>
        <v>3.1399999999999997E-2</v>
      </c>
      <c r="L55" s="681">
        <f t="shared" si="4"/>
        <v>150</v>
      </c>
      <c r="M55" s="664">
        <f t="shared" si="5"/>
        <v>150</v>
      </c>
    </row>
    <row r="56" spans="1:13">
      <c r="A56" s="11" t="s">
        <v>15</v>
      </c>
      <c r="B56" s="356">
        <v>9</v>
      </c>
      <c r="C56" s="678">
        <v>5</v>
      </c>
      <c r="D56" s="224">
        <v>3</v>
      </c>
      <c r="E56" s="356">
        <f t="shared" si="3"/>
        <v>150</v>
      </c>
      <c r="J56" s="490" t="s">
        <v>15</v>
      </c>
      <c r="K56" s="685">
        <f>'Spacers I'!B121</f>
        <v>3.2000000000000001E-2</v>
      </c>
      <c r="L56" s="681">
        <f t="shared" si="4"/>
        <v>135</v>
      </c>
      <c r="M56" s="664">
        <f t="shared" si="5"/>
        <v>135</v>
      </c>
    </row>
    <row r="57" spans="1:13">
      <c r="A57" s="11" t="s">
        <v>17</v>
      </c>
      <c r="B57" s="356">
        <v>8</v>
      </c>
      <c r="C57" s="678">
        <v>5</v>
      </c>
      <c r="D57" s="224">
        <v>3</v>
      </c>
      <c r="E57" s="356">
        <f t="shared" si="3"/>
        <v>135</v>
      </c>
      <c r="J57" s="490" t="s">
        <v>17</v>
      </c>
      <c r="K57" s="685">
        <f>'Spacers I'!B122</f>
        <v>3.3700000000000001E-2</v>
      </c>
      <c r="L57" s="681">
        <f t="shared" si="4"/>
        <v>120</v>
      </c>
      <c r="M57" s="664">
        <f t="shared" si="5"/>
        <v>120</v>
      </c>
    </row>
    <row r="58" spans="1:13">
      <c r="A58" s="11" t="s">
        <v>19</v>
      </c>
      <c r="B58" s="356">
        <v>7</v>
      </c>
      <c r="C58" s="678">
        <v>4</v>
      </c>
      <c r="D58" s="224">
        <v>3</v>
      </c>
      <c r="E58" s="356">
        <f t="shared" si="3"/>
        <v>96</v>
      </c>
      <c r="J58" s="490" t="s">
        <v>19</v>
      </c>
      <c r="K58" s="685">
        <f>'Spacers I'!B123</f>
        <v>3.7900000000000003E-2</v>
      </c>
      <c r="L58" s="681">
        <f t="shared" si="4"/>
        <v>84</v>
      </c>
      <c r="M58" s="664">
        <f t="shared" si="5"/>
        <v>84</v>
      </c>
    </row>
    <row r="59" spans="1:13">
      <c r="A59" s="11" t="s">
        <v>168</v>
      </c>
      <c r="B59" s="356">
        <v>7</v>
      </c>
      <c r="C59" s="678">
        <v>2</v>
      </c>
      <c r="D59" s="224">
        <v>2</v>
      </c>
      <c r="E59" s="356">
        <f t="shared" si="3"/>
        <v>32</v>
      </c>
      <c r="J59" s="490" t="s">
        <v>168</v>
      </c>
      <c r="K59" s="685">
        <f>'Spacers I'!B124</f>
        <v>3.8300000000000001E-2</v>
      </c>
      <c r="L59" s="681">
        <f t="shared" si="4"/>
        <v>28</v>
      </c>
      <c r="M59" s="664">
        <f t="shared" si="5"/>
        <v>28</v>
      </c>
    </row>
    <row r="60" spans="1:13">
      <c r="A60" s="11" t="s">
        <v>21</v>
      </c>
      <c r="B60" s="356">
        <v>6</v>
      </c>
      <c r="C60" s="678">
        <v>4</v>
      </c>
      <c r="D60" s="224">
        <v>3</v>
      </c>
      <c r="E60" s="356">
        <f t="shared" si="3"/>
        <v>84</v>
      </c>
      <c r="J60" s="491" t="s">
        <v>21</v>
      </c>
      <c r="K60" s="684">
        <f>'Spacers I'!B125</f>
        <v>4.48E-2</v>
      </c>
      <c r="L60" s="676">
        <f t="shared" si="4"/>
        <v>72</v>
      </c>
      <c r="M60" s="609"/>
    </row>
    <row r="61" spans="1:13">
      <c r="A61" s="11" t="s">
        <v>243</v>
      </c>
      <c r="B61" s="356">
        <v>6</v>
      </c>
      <c r="C61" s="678">
        <v>3</v>
      </c>
      <c r="D61" s="224">
        <v>2</v>
      </c>
      <c r="E61" s="356">
        <f t="shared" si="3"/>
        <v>42</v>
      </c>
      <c r="J61" s="1" t="s">
        <v>243</v>
      </c>
      <c r="K61" s="683">
        <f>'Spacers I'!B126</f>
        <v>4.48E-2</v>
      </c>
      <c r="L61" s="342">
        <f t="shared" si="4"/>
        <v>36</v>
      </c>
      <c r="M61" s="357">
        <f>L60+L61</f>
        <v>108</v>
      </c>
    </row>
    <row r="62" spans="1:13">
      <c r="A62" s="11" t="s">
        <v>22</v>
      </c>
      <c r="B62" s="356">
        <v>5</v>
      </c>
      <c r="C62" s="678">
        <v>4</v>
      </c>
      <c r="D62" s="224">
        <v>3</v>
      </c>
      <c r="E62" s="356">
        <f t="shared" si="3"/>
        <v>72</v>
      </c>
      <c r="J62" s="490" t="s">
        <v>22</v>
      </c>
      <c r="K62" s="685">
        <f>'Spacers I'!B127</f>
        <v>0.05</v>
      </c>
      <c r="L62" s="681">
        <f t="shared" si="4"/>
        <v>60</v>
      </c>
      <c r="M62" s="664">
        <f>L62</f>
        <v>60</v>
      </c>
    </row>
    <row r="63" spans="1:13">
      <c r="A63" s="11" t="s">
        <v>244</v>
      </c>
      <c r="B63" s="356">
        <v>5</v>
      </c>
      <c r="C63" s="678">
        <v>2</v>
      </c>
      <c r="D63" s="224">
        <v>2</v>
      </c>
      <c r="E63" s="356">
        <f t="shared" si="3"/>
        <v>24</v>
      </c>
      <c r="J63" s="490" t="s">
        <v>244</v>
      </c>
      <c r="K63" s="685">
        <f>'Spacers I'!B128</f>
        <v>5.0999999999999997E-2</v>
      </c>
      <c r="L63" s="681">
        <f t="shared" si="4"/>
        <v>20</v>
      </c>
      <c r="M63" s="664">
        <f t="shared" ref="M63:M68" si="6">L63</f>
        <v>20</v>
      </c>
    </row>
    <row r="64" spans="1:13">
      <c r="A64" s="11" t="s">
        <v>24</v>
      </c>
      <c r="B64" s="356">
        <v>4</v>
      </c>
      <c r="C64" s="678">
        <v>5</v>
      </c>
      <c r="D64" s="224">
        <v>3</v>
      </c>
      <c r="E64" s="356">
        <f t="shared" si="3"/>
        <v>75</v>
      </c>
      <c r="J64" s="490" t="s">
        <v>24</v>
      </c>
      <c r="K64" s="685">
        <f>'Spacers I'!B129</f>
        <v>6.7199999999999996E-2</v>
      </c>
      <c r="L64" s="681">
        <f t="shared" si="4"/>
        <v>60</v>
      </c>
      <c r="M64" s="664">
        <f t="shared" si="6"/>
        <v>60</v>
      </c>
    </row>
    <row r="65" spans="1:14">
      <c r="A65" s="11" t="s">
        <v>26</v>
      </c>
      <c r="B65" s="356">
        <v>3</v>
      </c>
      <c r="C65" s="678">
        <v>5</v>
      </c>
      <c r="D65" s="224">
        <v>3</v>
      </c>
      <c r="E65" s="356">
        <f t="shared" si="3"/>
        <v>60</v>
      </c>
      <c r="J65" s="490" t="s">
        <v>26</v>
      </c>
      <c r="K65" s="685">
        <f>'Spacers I'!B130</f>
        <v>9.2299999999999993E-2</v>
      </c>
      <c r="L65" s="681">
        <f t="shared" si="4"/>
        <v>45</v>
      </c>
      <c r="M65" s="664">
        <f t="shared" si="6"/>
        <v>45</v>
      </c>
    </row>
    <row r="66" spans="1:14">
      <c r="A66" s="11" t="s">
        <v>239</v>
      </c>
      <c r="B66" s="356">
        <v>2</v>
      </c>
      <c r="C66" s="678">
        <v>5</v>
      </c>
      <c r="D66" s="224">
        <v>3</v>
      </c>
      <c r="E66" s="356">
        <f t="shared" si="3"/>
        <v>45</v>
      </c>
      <c r="J66" s="490" t="s">
        <v>239</v>
      </c>
      <c r="K66" s="685">
        <f>'Spacers I'!B131</f>
        <v>0.121</v>
      </c>
      <c r="L66" s="681">
        <f t="shared" si="4"/>
        <v>30</v>
      </c>
      <c r="M66" s="664">
        <f t="shared" si="6"/>
        <v>30</v>
      </c>
    </row>
    <row r="67" spans="1:14">
      <c r="A67" s="11" t="s">
        <v>89</v>
      </c>
      <c r="B67" s="356">
        <v>1</v>
      </c>
      <c r="C67" s="678">
        <v>4</v>
      </c>
      <c r="D67" s="224">
        <v>3</v>
      </c>
      <c r="E67" s="356">
        <f t="shared" si="3"/>
        <v>24</v>
      </c>
      <c r="J67" s="490" t="s">
        <v>89</v>
      </c>
      <c r="K67" s="685">
        <f>'Spacers I'!B132</f>
        <v>0.25</v>
      </c>
      <c r="L67" s="681">
        <f t="shared" si="4"/>
        <v>12</v>
      </c>
      <c r="M67" s="664">
        <f t="shared" si="6"/>
        <v>12</v>
      </c>
    </row>
    <row r="68" spans="1:14">
      <c r="A68" s="32" t="s">
        <v>245</v>
      </c>
      <c r="B68" s="652">
        <v>1</v>
      </c>
      <c r="C68" s="342">
        <v>1</v>
      </c>
      <c r="D68" s="430">
        <v>2</v>
      </c>
      <c r="E68" s="652">
        <f t="shared" si="3"/>
        <v>4</v>
      </c>
      <c r="J68" s="490" t="s">
        <v>245</v>
      </c>
      <c r="K68" s="685">
        <f>'Spacers I'!B133</f>
        <v>0.247</v>
      </c>
      <c r="L68" s="681">
        <f t="shared" si="4"/>
        <v>2</v>
      </c>
      <c r="M68" s="664">
        <f t="shared" si="6"/>
        <v>2</v>
      </c>
    </row>
    <row r="69" spans="1:14">
      <c r="B69" s="609"/>
      <c r="C69" s="675">
        <f>SUM(C49:C68)</f>
        <v>71</v>
      </c>
      <c r="D69" s="675"/>
      <c r="E69" s="662">
        <f>SUM(E49:E68)</f>
        <v>1608</v>
      </c>
      <c r="L69" s="379">
        <f>SUM(L49:L68)</f>
        <v>1608</v>
      </c>
      <c r="M69" s="528">
        <f>SUM(M49:M68)</f>
        <v>1608</v>
      </c>
    </row>
    <row r="70" spans="1:14">
      <c r="B70" s="678"/>
      <c r="C70" s="675"/>
      <c r="D70" s="675"/>
      <c r="E70" s="224"/>
      <c r="L70" s="678"/>
      <c r="M70" s="335"/>
    </row>
    <row r="72" spans="1:14">
      <c r="A72" t="s">
        <v>563</v>
      </c>
      <c r="J72" t="s">
        <v>543</v>
      </c>
    </row>
    <row r="74" spans="1:14">
      <c r="A74" s="11" t="s">
        <v>246</v>
      </c>
      <c r="B74" s="5" t="s">
        <v>548</v>
      </c>
      <c r="C74" s="11" t="s">
        <v>254</v>
      </c>
      <c r="D74" s="78" t="s">
        <v>367</v>
      </c>
      <c r="E74" s="651" t="s">
        <v>262</v>
      </c>
      <c r="J74" s="4" t="s">
        <v>246</v>
      </c>
      <c r="K74" s="15" t="s">
        <v>544</v>
      </c>
      <c r="L74" t="s">
        <v>254</v>
      </c>
      <c r="M74" t="s">
        <v>367</v>
      </c>
      <c r="N74" s="5" t="s">
        <v>372</v>
      </c>
    </row>
    <row r="75" spans="1:14">
      <c r="A75" s="32" t="s">
        <v>364</v>
      </c>
      <c r="B75" s="155" t="s">
        <v>263</v>
      </c>
      <c r="C75" s="32" t="s">
        <v>266</v>
      </c>
      <c r="D75" s="32" t="s">
        <v>368</v>
      </c>
      <c r="E75" s="2" t="s">
        <v>366</v>
      </c>
      <c r="J75" s="1" t="s">
        <v>364</v>
      </c>
      <c r="K75" s="661" t="s">
        <v>545</v>
      </c>
      <c r="L75" s="32" t="s">
        <v>266</v>
      </c>
      <c r="M75" s="32" t="s">
        <v>368</v>
      </c>
      <c r="N75" s="2" t="s">
        <v>366</v>
      </c>
    </row>
    <row r="76" spans="1:14">
      <c r="B76" s="139"/>
      <c r="D76" s="66"/>
      <c r="E76" s="139"/>
      <c r="J76" s="4"/>
      <c r="N76" s="5"/>
    </row>
    <row r="77" spans="1:14">
      <c r="A77" s="66" t="s">
        <v>6</v>
      </c>
      <c r="B77" s="356">
        <f>B49</f>
        <v>13</v>
      </c>
      <c r="C77" s="222">
        <v>4</v>
      </c>
      <c r="D77" s="222">
        <v>3</v>
      </c>
      <c r="E77" s="356">
        <f t="shared" ref="E77:E96" si="7">B77*C77*D77</f>
        <v>156</v>
      </c>
      <c r="J77" s="140" t="s">
        <v>6</v>
      </c>
      <c r="K77" s="675" t="s">
        <v>165</v>
      </c>
      <c r="L77" s="675">
        <v>4</v>
      </c>
      <c r="M77" s="675">
        <v>3</v>
      </c>
      <c r="N77" s="674">
        <f>L77*M77</f>
        <v>12</v>
      </c>
    </row>
    <row r="78" spans="1:14">
      <c r="A78" s="66" t="s">
        <v>164</v>
      </c>
      <c r="B78" s="356">
        <f t="shared" ref="B78:B96" si="8">B50</f>
        <v>13</v>
      </c>
      <c r="C78" s="222">
        <v>2</v>
      </c>
      <c r="D78" s="222">
        <v>2</v>
      </c>
      <c r="E78" s="356">
        <f t="shared" si="7"/>
        <v>52</v>
      </c>
      <c r="J78" s="140" t="s">
        <v>164</v>
      </c>
      <c r="K78" s="675" t="s">
        <v>165</v>
      </c>
      <c r="L78" s="675">
        <v>2</v>
      </c>
      <c r="M78" s="675">
        <v>2</v>
      </c>
      <c r="N78" s="674">
        <f t="shared" ref="N78:N96" si="9">L78*M78</f>
        <v>4</v>
      </c>
    </row>
    <row r="79" spans="1:14">
      <c r="A79" s="66" t="s">
        <v>9</v>
      </c>
      <c r="B79" s="356">
        <f t="shared" si="8"/>
        <v>12</v>
      </c>
      <c r="C79" s="222">
        <v>4</v>
      </c>
      <c r="D79" s="222">
        <v>3</v>
      </c>
      <c r="E79" s="356">
        <f t="shared" si="7"/>
        <v>144</v>
      </c>
      <c r="J79" s="140" t="s">
        <v>9</v>
      </c>
      <c r="K79" s="675" t="s">
        <v>165</v>
      </c>
      <c r="L79" s="675">
        <v>4</v>
      </c>
      <c r="M79" s="675">
        <v>3</v>
      </c>
      <c r="N79" s="674">
        <f t="shared" si="9"/>
        <v>12</v>
      </c>
    </row>
    <row r="80" spans="1:14">
      <c r="A80" s="66" t="s">
        <v>165</v>
      </c>
      <c r="B80" s="356">
        <f t="shared" si="8"/>
        <v>12</v>
      </c>
      <c r="C80" s="222">
        <v>2</v>
      </c>
      <c r="D80" s="224">
        <v>2</v>
      </c>
      <c r="E80" s="356">
        <f t="shared" si="7"/>
        <v>48</v>
      </c>
      <c r="J80" s="140" t="s">
        <v>165</v>
      </c>
      <c r="K80" s="675" t="s">
        <v>165</v>
      </c>
      <c r="L80" s="675">
        <v>2</v>
      </c>
      <c r="M80" s="675">
        <v>2</v>
      </c>
      <c r="N80" s="674">
        <f t="shared" si="9"/>
        <v>4</v>
      </c>
    </row>
    <row r="81" spans="1:14">
      <c r="A81" s="66" t="s">
        <v>11</v>
      </c>
      <c r="B81" s="356">
        <f t="shared" si="8"/>
        <v>11</v>
      </c>
      <c r="C81" s="222">
        <v>4</v>
      </c>
      <c r="D81" s="224">
        <v>3</v>
      </c>
      <c r="E81" s="356">
        <f t="shared" si="7"/>
        <v>132</v>
      </c>
      <c r="J81" s="140" t="s">
        <v>11</v>
      </c>
      <c r="K81" s="675" t="s">
        <v>165</v>
      </c>
      <c r="L81" s="675">
        <v>4</v>
      </c>
      <c r="M81" s="675">
        <v>3</v>
      </c>
      <c r="N81" s="674">
        <f t="shared" si="9"/>
        <v>12</v>
      </c>
    </row>
    <row r="82" spans="1:14">
      <c r="A82" s="66" t="s">
        <v>226</v>
      </c>
      <c r="B82" s="356">
        <f t="shared" si="8"/>
        <v>11</v>
      </c>
      <c r="C82" s="222">
        <v>1</v>
      </c>
      <c r="D82" s="224">
        <v>2</v>
      </c>
      <c r="E82" s="356">
        <f t="shared" si="7"/>
        <v>22</v>
      </c>
      <c r="J82" s="140" t="s">
        <v>226</v>
      </c>
      <c r="K82" s="675" t="s">
        <v>165</v>
      </c>
      <c r="L82" s="675">
        <v>1</v>
      </c>
      <c r="M82" s="675">
        <v>2</v>
      </c>
      <c r="N82" s="674">
        <f t="shared" si="9"/>
        <v>2</v>
      </c>
    </row>
    <row r="83" spans="1:14">
      <c r="A83" s="11" t="s">
        <v>13</v>
      </c>
      <c r="B83" s="356">
        <f t="shared" si="8"/>
        <v>10</v>
      </c>
      <c r="C83" s="678">
        <v>5</v>
      </c>
      <c r="D83" s="224">
        <v>3</v>
      </c>
      <c r="E83" s="356">
        <f t="shared" si="7"/>
        <v>150</v>
      </c>
      <c r="J83" s="4" t="s">
        <v>13</v>
      </c>
      <c r="K83" s="675" t="s">
        <v>165</v>
      </c>
      <c r="L83" s="675">
        <v>5</v>
      </c>
      <c r="M83" s="675">
        <v>3</v>
      </c>
      <c r="N83" s="674">
        <f t="shared" si="9"/>
        <v>15</v>
      </c>
    </row>
    <row r="84" spans="1:14">
      <c r="A84" s="11" t="s">
        <v>15</v>
      </c>
      <c r="B84" s="356">
        <f t="shared" si="8"/>
        <v>9</v>
      </c>
      <c r="C84" s="678">
        <v>5</v>
      </c>
      <c r="D84" s="224">
        <v>3</v>
      </c>
      <c r="E84" s="356">
        <f t="shared" si="7"/>
        <v>135</v>
      </c>
      <c r="J84" s="4" t="s">
        <v>15</v>
      </c>
      <c r="K84" s="675" t="s">
        <v>165</v>
      </c>
      <c r="L84" s="675">
        <v>5</v>
      </c>
      <c r="M84" s="675">
        <v>3</v>
      </c>
      <c r="N84" s="674">
        <f t="shared" si="9"/>
        <v>15</v>
      </c>
    </row>
    <row r="85" spans="1:14">
      <c r="A85" s="11" t="s">
        <v>17</v>
      </c>
      <c r="B85" s="356">
        <f t="shared" si="8"/>
        <v>8</v>
      </c>
      <c r="C85" s="678">
        <v>5</v>
      </c>
      <c r="D85" s="224">
        <v>3</v>
      </c>
      <c r="E85" s="356">
        <f t="shared" si="7"/>
        <v>120</v>
      </c>
      <c r="J85" s="4" t="s">
        <v>17</v>
      </c>
      <c r="K85" s="675" t="s">
        <v>165</v>
      </c>
      <c r="L85" s="675">
        <v>5</v>
      </c>
      <c r="M85" s="675">
        <v>3</v>
      </c>
      <c r="N85" s="674">
        <f t="shared" si="9"/>
        <v>15</v>
      </c>
    </row>
    <row r="86" spans="1:14">
      <c r="A86" s="11" t="s">
        <v>19</v>
      </c>
      <c r="B86" s="356">
        <f t="shared" si="8"/>
        <v>7</v>
      </c>
      <c r="C86" s="678">
        <v>4</v>
      </c>
      <c r="D86" s="224">
        <v>3</v>
      </c>
      <c r="E86" s="356">
        <f t="shared" si="7"/>
        <v>84</v>
      </c>
      <c r="J86" s="4" t="s">
        <v>19</v>
      </c>
      <c r="K86" s="675" t="s">
        <v>165</v>
      </c>
      <c r="L86" s="675">
        <v>4</v>
      </c>
      <c r="M86" s="675">
        <v>3</v>
      </c>
      <c r="N86" s="674">
        <f t="shared" si="9"/>
        <v>12</v>
      </c>
    </row>
    <row r="87" spans="1:14">
      <c r="A87" s="11" t="s">
        <v>168</v>
      </c>
      <c r="B87" s="356">
        <f t="shared" si="8"/>
        <v>7</v>
      </c>
      <c r="C87" s="678">
        <v>2</v>
      </c>
      <c r="D87" s="224">
        <v>2</v>
      </c>
      <c r="E87" s="356">
        <f t="shared" si="7"/>
        <v>28</v>
      </c>
      <c r="J87" s="4" t="s">
        <v>168</v>
      </c>
      <c r="K87" s="675" t="s">
        <v>165</v>
      </c>
      <c r="L87" s="675">
        <v>2</v>
      </c>
      <c r="M87" s="675">
        <v>2</v>
      </c>
      <c r="N87" s="674">
        <f t="shared" si="9"/>
        <v>4</v>
      </c>
    </row>
    <row r="88" spans="1:14">
      <c r="A88" s="11" t="s">
        <v>21</v>
      </c>
      <c r="B88" s="356">
        <f t="shared" si="8"/>
        <v>6</v>
      </c>
      <c r="C88" s="678">
        <v>4</v>
      </c>
      <c r="D88" s="224">
        <v>3</v>
      </c>
      <c r="E88" s="356">
        <f t="shared" si="7"/>
        <v>72</v>
      </c>
      <c r="J88" s="4" t="s">
        <v>21</v>
      </c>
      <c r="K88" s="675" t="s">
        <v>165</v>
      </c>
      <c r="L88" s="675">
        <v>4</v>
      </c>
      <c r="M88" s="675">
        <v>3</v>
      </c>
      <c r="N88" s="674">
        <f t="shared" si="9"/>
        <v>12</v>
      </c>
    </row>
    <row r="89" spans="1:14">
      <c r="A89" s="11" t="s">
        <v>243</v>
      </c>
      <c r="B89" s="356">
        <f t="shared" si="8"/>
        <v>6</v>
      </c>
      <c r="C89" s="678">
        <v>3</v>
      </c>
      <c r="D89" s="224">
        <v>2</v>
      </c>
      <c r="E89" s="356">
        <f t="shared" si="7"/>
        <v>36</v>
      </c>
      <c r="J89" s="4" t="s">
        <v>243</v>
      </c>
      <c r="K89" s="675" t="s">
        <v>165</v>
      </c>
      <c r="L89" s="675">
        <v>3</v>
      </c>
      <c r="M89" s="675">
        <v>2</v>
      </c>
      <c r="N89" s="674">
        <f t="shared" si="9"/>
        <v>6</v>
      </c>
    </row>
    <row r="90" spans="1:14">
      <c r="A90" s="11" t="s">
        <v>22</v>
      </c>
      <c r="B90" s="356">
        <f t="shared" si="8"/>
        <v>5</v>
      </c>
      <c r="C90" s="678">
        <v>4</v>
      </c>
      <c r="D90" s="224">
        <v>3</v>
      </c>
      <c r="E90" s="356">
        <f t="shared" si="7"/>
        <v>60</v>
      </c>
      <c r="J90" s="4" t="s">
        <v>22</v>
      </c>
      <c r="K90" s="675" t="s">
        <v>165</v>
      </c>
      <c r="L90" s="675">
        <v>4</v>
      </c>
      <c r="M90" s="675">
        <v>3</v>
      </c>
      <c r="N90" s="674">
        <f t="shared" si="9"/>
        <v>12</v>
      </c>
    </row>
    <row r="91" spans="1:14">
      <c r="A91" s="11" t="s">
        <v>244</v>
      </c>
      <c r="B91" s="356">
        <f t="shared" si="8"/>
        <v>5</v>
      </c>
      <c r="C91" s="678">
        <v>2</v>
      </c>
      <c r="D91" s="224">
        <v>2</v>
      </c>
      <c r="E91" s="356">
        <f t="shared" si="7"/>
        <v>20</v>
      </c>
      <c r="J91" s="4" t="s">
        <v>244</v>
      </c>
      <c r="K91" s="675" t="s">
        <v>165</v>
      </c>
      <c r="L91" s="675">
        <v>2</v>
      </c>
      <c r="M91" s="675">
        <v>2</v>
      </c>
      <c r="N91" s="674">
        <f t="shared" si="9"/>
        <v>4</v>
      </c>
    </row>
    <row r="92" spans="1:14">
      <c r="A92" s="11" t="s">
        <v>24</v>
      </c>
      <c r="B92" s="356">
        <f t="shared" si="8"/>
        <v>4</v>
      </c>
      <c r="C92" s="678">
        <v>5</v>
      </c>
      <c r="D92" s="224">
        <v>3</v>
      </c>
      <c r="E92" s="356">
        <f t="shared" si="7"/>
        <v>60</v>
      </c>
      <c r="J92" s="4" t="s">
        <v>24</v>
      </c>
      <c r="K92" s="675" t="s">
        <v>165</v>
      </c>
      <c r="L92" s="675">
        <v>5</v>
      </c>
      <c r="M92" s="675">
        <v>3</v>
      </c>
      <c r="N92" s="674">
        <f t="shared" si="9"/>
        <v>15</v>
      </c>
    </row>
    <row r="93" spans="1:14">
      <c r="A93" s="11" t="s">
        <v>26</v>
      </c>
      <c r="B93" s="356">
        <f t="shared" si="8"/>
        <v>3</v>
      </c>
      <c r="C93" s="678">
        <v>5</v>
      </c>
      <c r="D93" s="224">
        <v>3</v>
      </c>
      <c r="E93" s="356">
        <f t="shared" si="7"/>
        <v>45</v>
      </c>
      <c r="J93" s="4" t="s">
        <v>26</v>
      </c>
      <c r="K93" s="675" t="s">
        <v>165</v>
      </c>
      <c r="L93" s="675">
        <v>5</v>
      </c>
      <c r="M93" s="675">
        <v>3</v>
      </c>
      <c r="N93" s="674">
        <f t="shared" si="9"/>
        <v>15</v>
      </c>
    </row>
    <row r="94" spans="1:14">
      <c r="A94" s="11" t="s">
        <v>239</v>
      </c>
      <c r="B94" s="356">
        <f t="shared" si="8"/>
        <v>2</v>
      </c>
      <c r="C94" s="678">
        <v>5</v>
      </c>
      <c r="D94" s="224">
        <v>3</v>
      </c>
      <c r="E94" s="356">
        <f t="shared" si="7"/>
        <v>30</v>
      </c>
      <c r="J94" s="4" t="s">
        <v>239</v>
      </c>
      <c r="K94" s="675" t="s">
        <v>165</v>
      </c>
      <c r="L94" s="675">
        <v>5</v>
      </c>
      <c r="M94" s="675">
        <v>3</v>
      </c>
      <c r="N94" s="674">
        <f t="shared" si="9"/>
        <v>15</v>
      </c>
    </row>
    <row r="95" spans="1:14">
      <c r="A95" s="11" t="s">
        <v>89</v>
      </c>
      <c r="B95" s="356">
        <f t="shared" si="8"/>
        <v>1</v>
      </c>
      <c r="C95" s="678">
        <v>4</v>
      </c>
      <c r="D95" s="224">
        <v>3</v>
      </c>
      <c r="E95" s="356">
        <f t="shared" si="7"/>
        <v>12</v>
      </c>
      <c r="J95" s="4" t="s">
        <v>89</v>
      </c>
      <c r="K95" s="675" t="s">
        <v>165</v>
      </c>
      <c r="L95" s="675">
        <v>4</v>
      </c>
      <c r="M95" s="675">
        <v>3</v>
      </c>
      <c r="N95" s="674">
        <f t="shared" si="9"/>
        <v>12</v>
      </c>
    </row>
    <row r="96" spans="1:14">
      <c r="A96" s="32" t="s">
        <v>245</v>
      </c>
      <c r="B96" s="356">
        <f t="shared" si="8"/>
        <v>1</v>
      </c>
      <c r="C96" s="342">
        <v>1</v>
      </c>
      <c r="D96" s="430">
        <v>2</v>
      </c>
      <c r="E96" s="652">
        <f t="shared" si="7"/>
        <v>2</v>
      </c>
      <c r="J96" s="1" t="s">
        <v>245</v>
      </c>
      <c r="K96" s="342" t="s">
        <v>165</v>
      </c>
      <c r="L96" s="342">
        <v>1</v>
      </c>
      <c r="M96" s="342">
        <v>2</v>
      </c>
      <c r="N96" s="357">
        <f t="shared" si="9"/>
        <v>2</v>
      </c>
    </row>
    <row r="97" spans="2:14">
      <c r="B97" s="397"/>
      <c r="C97" s="675">
        <f>SUM(C77:C96)</f>
        <v>71</v>
      </c>
      <c r="D97">
        <f>SUM(D77:D96)</f>
        <v>53</v>
      </c>
      <c r="E97" s="662">
        <f>SUM(E77:E96)</f>
        <v>1408</v>
      </c>
      <c r="L97" s="675">
        <f>SUM(L77:L96)</f>
        <v>71</v>
      </c>
      <c r="M97" s="675">
        <f>SUM(M77:M96)</f>
        <v>53</v>
      </c>
      <c r="N97" s="674">
        <f>SUM(N77:N96)</f>
        <v>200</v>
      </c>
    </row>
  </sheetData>
  <pageMargins left="0.25" right="0.25" top="0.25" bottom="0.25" header="0.3" footer="0.3"/>
  <pageSetup scale="71" orientation="landscape" r:id="rId1"/>
  <rowBreaks count="1" manualBreakCount="1">
    <brk id="4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AB90"/>
  <sheetViews>
    <sheetView topLeftCell="A11" zoomScale="80" zoomScaleNormal="80" zoomScaleSheetLayoutView="85" workbookViewId="0">
      <selection activeCell="AC32" sqref="AC32"/>
    </sheetView>
  </sheetViews>
  <sheetFormatPr defaultRowHeight="15"/>
  <cols>
    <col min="1" max="1" width="5.28515625" customWidth="1"/>
    <col min="2" max="2" width="15.28515625" customWidth="1"/>
    <col min="3" max="3" width="6" customWidth="1"/>
    <col min="4" max="4" width="4.42578125" customWidth="1"/>
    <col min="5" max="5" width="6" customWidth="1"/>
    <col min="6" max="9" width="4.5703125" customWidth="1"/>
    <col min="10" max="10" width="2.7109375" bestFit="1" customWidth="1"/>
    <col min="11" max="12" width="6.140625" customWidth="1"/>
    <col min="13" max="16" width="2.85546875" customWidth="1"/>
    <col min="17" max="17" width="9.5703125" bestFit="1" customWidth="1"/>
    <col min="18" max="18" width="7.140625" customWidth="1"/>
    <col min="19" max="19" width="7.5703125" customWidth="1"/>
    <col min="20" max="20" width="6.5703125" customWidth="1"/>
    <col min="21" max="21" width="9.5703125" bestFit="1" customWidth="1"/>
    <col min="22" max="22" width="9.5703125" customWidth="1"/>
    <col min="25" max="25" width="11.42578125" customWidth="1"/>
    <col min="27" max="27" width="12.140625" customWidth="1"/>
  </cols>
  <sheetData>
    <row r="1" spans="1:28">
      <c r="A1" s="126" t="s">
        <v>0</v>
      </c>
      <c r="B1" s="126"/>
      <c r="C1" s="52"/>
      <c r="D1" s="52"/>
      <c r="E1" s="70"/>
      <c r="F1" s="70"/>
      <c r="G1" s="70"/>
      <c r="H1" s="70"/>
      <c r="I1" s="70"/>
      <c r="J1" s="70"/>
      <c r="K1" s="52"/>
      <c r="L1" s="52"/>
      <c r="M1" s="57"/>
      <c r="N1" s="52"/>
      <c r="O1" s="52"/>
      <c r="P1" s="52"/>
      <c r="Q1" s="57"/>
      <c r="R1" s="127"/>
      <c r="S1" s="127"/>
      <c r="T1" s="127"/>
      <c r="U1" s="57"/>
      <c r="V1" s="57"/>
      <c r="W1" s="57"/>
      <c r="X1" s="57"/>
      <c r="Y1" s="57"/>
      <c r="Z1" s="57"/>
    </row>
    <row r="2" spans="1:28">
      <c r="A2" s="126" t="s">
        <v>1</v>
      </c>
      <c r="B2" s="126"/>
      <c r="C2" s="52"/>
      <c r="D2" s="52"/>
      <c r="E2" s="70"/>
      <c r="F2" s="70"/>
      <c r="G2" s="70"/>
      <c r="H2" s="70"/>
      <c r="I2" s="70"/>
      <c r="J2" s="70"/>
      <c r="K2" s="52"/>
      <c r="L2" s="52"/>
      <c r="M2" s="57"/>
      <c r="N2" s="52"/>
      <c r="O2" s="52"/>
      <c r="P2" s="52"/>
      <c r="Q2" s="57"/>
      <c r="R2" s="127"/>
      <c r="S2" s="127"/>
      <c r="T2" s="127"/>
      <c r="U2" s="57"/>
      <c r="V2" s="57"/>
      <c r="W2" s="57"/>
      <c r="X2" s="57"/>
      <c r="Y2" s="57"/>
      <c r="Z2" s="57"/>
    </row>
    <row r="3" spans="1:28">
      <c r="A3" s="126" t="s">
        <v>58</v>
      </c>
      <c r="B3" s="126"/>
      <c r="C3" s="52"/>
      <c r="D3" s="52"/>
      <c r="E3" s="70"/>
      <c r="F3" s="70"/>
      <c r="G3" s="70"/>
      <c r="H3" s="70"/>
      <c r="I3" s="70"/>
      <c r="J3" s="70"/>
      <c r="K3" s="52"/>
      <c r="L3" s="52"/>
      <c r="M3" s="57"/>
      <c r="N3" s="52"/>
      <c r="O3" s="52"/>
      <c r="P3" s="52"/>
      <c r="Q3" s="57"/>
      <c r="R3" s="127"/>
      <c r="S3" s="127"/>
      <c r="T3" s="127"/>
      <c r="U3" s="57"/>
      <c r="V3" s="57"/>
      <c r="W3" s="57"/>
      <c r="X3" s="57"/>
      <c r="Y3" s="57"/>
      <c r="Z3" s="57"/>
    </row>
    <row r="4" spans="1:28">
      <c r="A4" s="57"/>
      <c r="B4" s="52"/>
      <c r="C4" s="52"/>
      <c r="D4" s="52"/>
      <c r="E4" s="70"/>
      <c r="F4" s="70"/>
      <c r="G4" s="70"/>
      <c r="H4" s="70"/>
      <c r="I4" s="70"/>
      <c r="J4" s="70"/>
      <c r="K4" s="52"/>
      <c r="L4" s="52"/>
      <c r="M4" s="57"/>
      <c r="N4" s="52"/>
      <c r="O4" s="52"/>
      <c r="P4" s="52"/>
      <c r="Q4" s="57"/>
      <c r="R4" s="127"/>
      <c r="S4" s="127"/>
      <c r="T4" s="127"/>
      <c r="U4" s="57"/>
      <c r="V4" s="57"/>
      <c r="W4" s="57"/>
      <c r="X4" s="57"/>
      <c r="Y4" s="57"/>
      <c r="Z4" s="57"/>
    </row>
    <row r="5" spans="1:28">
      <c r="A5" s="57"/>
      <c r="B5" s="52" t="s">
        <v>112</v>
      </c>
      <c r="C5" s="52" t="s">
        <v>113</v>
      </c>
      <c r="D5" s="52"/>
      <c r="E5" s="70"/>
      <c r="F5" s="70"/>
      <c r="G5" s="70"/>
      <c r="H5" s="70"/>
      <c r="I5" s="70"/>
      <c r="J5" s="70"/>
      <c r="K5" s="52"/>
      <c r="L5" s="52"/>
      <c r="M5" s="57"/>
      <c r="N5" s="52"/>
      <c r="O5" s="52"/>
      <c r="P5" s="52"/>
      <c r="Q5" s="57"/>
      <c r="R5" s="127"/>
      <c r="S5" s="127"/>
      <c r="T5" s="127"/>
      <c r="U5" s="57"/>
      <c r="V5" s="57"/>
      <c r="W5" s="57"/>
      <c r="X5" s="57"/>
      <c r="Y5" s="57"/>
      <c r="Z5" s="57"/>
    </row>
    <row r="6" spans="1:28">
      <c r="A6" s="57" t="s">
        <v>59</v>
      </c>
      <c r="B6" s="52">
        <v>1.4999999999999999E-2</v>
      </c>
      <c r="C6" s="52">
        <f>B6*25.4</f>
        <v>0.38099999999999995</v>
      </c>
      <c r="D6" s="52"/>
      <c r="E6" s="70"/>
      <c r="F6" s="70"/>
      <c r="G6" s="70"/>
      <c r="H6" s="70"/>
      <c r="I6" s="70"/>
      <c r="J6" s="70"/>
      <c r="K6" s="52"/>
      <c r="L6" s="52"/>
      <c r="M6" s="57"/>
      <c r="N6" s="52"/>
      <c r="O6" s="52"/>
      <c r="P6" s="52"/>
      <c r="Q6" s="57"/>
      <c r="R6" s="127"/>
      <c r="S6" s="127"/>
      <c r="T6" s="127"/>
      <c r="U6" s="57"/>
      <c r="V6" s="57"/>
      <c r="W6" s="57"/>
      <c r="X6" s="57"/>
      <c r="Y6" s="57"/>
      <c r="Z6" s="57"/>
    </row>
    <row r="7" spans="1:28">
      <c r="A7" s="57"/>
      <c r="B7" s="52"/>
      <c r="C7" s="52"/>
      <c r="D7" s="52"/>
      <c r="E7" s="70"/>
      <c r="F7" s="70"/>
      <c r="G7" s="70"/>
      <c r="H7" s="70"/>
      <c r="I7" s="70"/>
      <c r="J7" s="70"/>
      <c r="K7" s="52"/>
      <c r="L7" s="52"/>
      <c r="M7" s="57"/>
      <c r="N7" s="52"/>
      <c r="O7" s="52"/>
      <c r="P7" s="52"/>
      <c r="Q7" s="57"/>
      <c r="R7" s="127"/>
      <c r="S7" s="127"/>
      <c r="T7" s="127"/>
      <c r="U7" s="57"/>
      <c r="V7" s="57"/>
      <c r="W7" s="57"/>
      <c r="X7" s="57"/>
      <c r="Y7" s="57"/>
      <c r="Z7" s="57"/>
    </row>
    <row r="8" spans="1:28">
      <c r="A8" s="3" t="s">
        <v>121</v>
      </c>
      <c r="B8" s="52"/>
      <c r="C8" s="52"/>
      <c r="D8" s="52"/>
      <c r="E8" s="70"/>
      <c r="F8" s="70"/>
      <c r="G8" s="70"/>
      <c r="H8" s="70"/>
      <c r="I8" s="70"/>
      <c r="J8" s="70"/>
      <c r="K8" s="52"/>
      <c r="L8" s="52"/>
      <c r="M8" s="57"/>
      <c r="N8" s="52"/>
      <c r="O8" s="52"/>
      <c r="P8" s="52"/>
      <c r="Q8" s="57"/>
      <c r="R8" s="127"/>
      <c r="S8" s="127"/>
      <c r="T8" s="127"/>
      <c r="U8" s="57"/>
      <c r="V8" s="57"/>
      <c r="W8" s="57"/>
      <c r="X8" s="3" t="s">
        <v>157</v>
      </c>
      <c r="Y8" s="57"/>
      <c r="Z8" s="57"/>
    </row>
    <row r="9" spans="1:28" ht="45">
      <c r="A9" s="111" t="s">
        <v>216</v>
      </c>
      <c r="B9" s="128" t="s">
        <v>60</v>
      </c>
      <c r="C9" s="767" t="s">
        <v>61</v>
      </c>
      <c r="D9" s="768"/>
      <c r="E9" s="766" t="s">
        <v>62</v>
      </c>
      <c r="F9" s="766"/>
      <c r="G9" s="766"/>
      <c r="H9" s="766"/>
      <c r="I9" s="766"/>
      <c r="J9" s="129"/>
      <c r="K9" s="767" t="s">
        <v>63</v>
      </c>
      <c r="L9" s="768"/>
      <c r="M9" s="765" t="s">
        <v>64</v>
      </c>
      <c r="N9" s="765"/>
      <c r="O9" s="765"/>
      <c r="P9" s="765"/>
      <c r="Q9" s="130" t="s">
        <v>91</v>
      </c>
      <c r="R9" s="116" t="s">
        <v>65</v>
      </c>
      <c r="S9" s="131" t="s">
        <v>109</v>
      </c>
      <c r="T9" s="111" t="s">
        <v>101</v>
      </c>
      <c r="U9" s="111"/>
      <c r="V9" s="111"/>
      <c r="W9" s="132" t="s">
        <v>216</v>
      </c>
      <c r="X9" s="133" t="s">
        <v>123</v>
      </c>
      <c r="Y9" s="134" t="s">
        <v>155</v>
      </c>
      <c r="Z9" s="152" t="s">
        <v>196</v>
      </c>
      <c r="AA9" s="252" t="s">
        <v>222</v>
      </c>
      <c r="AB9" s="785" t="s">
        <v>628</v>
      </c>
    </row>
    <row r="10" spans="1:28" s="26" customFormat="1">
      <c r="A10" s="118"/>
      <c r="B10" s="119"/>
      <c r="C10" s="135">
        <v>1</v>
      </c>
      <c r="D10" s="136">
        <v>2</v>
      </c>
      <c r="E10" s="119">
        <v>1</v>
      </c>
      <c r="F10" s="119">
        <v>2</v>
      </c>
      <c r="G10" s="119">
        <v>3</v>
      </c>
      <c r="H10" s="119">
        <v>4</v>
      </c>
      <c r="I10" s="119">
        <v>5</v>
      </c>
      <c r="J10" s="119">
        <v>6</v>
      </c>
      <c r="K10" s="135">
        <v>1</v>
      </c>
      <c r="L10" s="136">
        <v>2</v>
      </c>
      <c r="M10" s="119">
        <v>1</v>
      </c>
      <c r="N10" s="119">
        <v>2</v>
      </c>
      <c r="O10" s="119">
        <v>3</v>
      </c>
      <c r="P10" s="120">
        <v>4</v>
      </c>
      <c r="Q10" s="137"/>
      <c r="R10" s="121"/>
      <c r="S10" s="137"/>
      <c r="T10" s="121"/>
      <c r="U10" s="121"/>
      <c r="V10" s="121"/>
      <c r="W10" s="121"/>
      <c r="X10" s="138"/>
      <c r="Y10" s="138"/>
      <c r="Z10" s="138"/>
      <c r="AA10" s="44"/>
    </row>
    <row r="11" spans="1:28">
      <c r="A11" s="57"/>
      <c r="B11" s="57"/>
      <c r="C11" s="139"/>
      <c r="D11" s="140"/>
      <c r="E11" s="57"/>
      <c r="F11" s="57"/>
      <c r="G11" s="57"/>
      <c r="H11" s="57"/>
      <c r="I11" s="57"/>
      <c r="J11" s="57"/>
      <c r="K11" s="139"/>
      <c r="L11" s="140"/>
      <c r="M11" s="57"/>
      <c r="N11" s="61"/>
      <c r="O11" s="61"/>
      <c r="P11" s="61"/>
      <c r="Q11" s="140"/>
      <c r="R11" s="104"/>
      <c r="S11" s="141"/>
      <c r="T11" s="57"/>
      <c r="U11" s="57"/>
      <c r="V11" s="57"/>
      <c r="W11" s="57"/>
      <c r="X11" s="142"/>
      <c r="Y11" s="143"/>
      <c r="Z11" s="143"/>
      <c r="AA11" s="143"/>
    </row>
    <row r="12" spans="1:28">
      <c r="A12" s="66">
        <v>1</v>
      </c>
      <c r="B12" s="67"/>
      <c r="C12" s="81">
        <v>204</v>
      </c>
      <c r="D12" s="77">
        <v>204</v>
      </c>
      <c r="E12" s="71">
        <v>0.38</v>
      </c>
      <c r="F12" s="71">
        <v>0.38</v>
      </c>
      <c r="G12" s="71">
        <v>0.39</v>
      </c>
      <c r="H12" s="71">
        <v>0.38</v>
      </c>
      <c r="I12" s="71">
        <v>0.38</v>
      </c>
      <c r="J12" s="71"/>
      <c r="K12" s="85">
        <v>26.34</v>
      </c>
      <c r="L12" s="144">
        <v>26.3</v>
      </c>
      <c r="M12" s="103" t="s">
        <v>88</v>
      </c>
      <c r="N12" s="67" t="s">
        <v>89</v>
      </c>
      <c r="O12" s="67"/>
      <c r="P12" s="75"/>
      <c r="Q12" s="75"/>
      <c r="R12" s="145">
        <v>28.4</v>
      </c>
      <c r="S12" s="64">
        <f t="shared" ref="S12:S43" si="0">R12/(AVERAGE(C12:D12)*AVERAGE(E12:J12)*AVERAGE(K12:L12)*0.001)</f>
        <v>13.846465399126121</v>
      </c>
      <c r="T12" s="57">
        <v>3</v>
      </c>
      <c r="U12" s="57"/>
      <c r="V12" s="57"/>
      <c r="W12" s="57">
        <v>1</v>
      </c>
      <c r="X12" s="143">
        <f t="shared" ref="X12:X43" si="1">IF(OR(ABS(E12-$C$6)&gt;($C$6*0.1),ABS(F12-$C$6)&gt;($C$6*0.1),ABS(G12-$C$6)&gt;($C$6*0.1),ABS(H12-$C$6)&gt;($C$6*0.1),ABS(I12-$C$6)&gt;($C$6*0.1)),1,0)</f>
        <v>0</v>
      </c>
      <c r="Y12" s="143">
        <f>IF(OR(K12&gt;Cuts!$B$16, L12&gt;Cuts!B$16), 1,0)</f>
        <v>0</v>
      </c>
      <c r="Z12" s="246">
        <f>IF(OR(C12&gt;Cuts!$C$16, D12&gt;Cuts!$C$16),1,0)</f>
        <v>0</v>
      </c>
      <c r="AA12" s="306">
        <f t="shared" ref="AA12:AA43" si="2">IF(OR(M12="Y",N12="Y",O12="Y",P12="Y"),1,0)</f>
        <v>1</v>
      </c>
    </row>
    <row r="13" spans="1:28">
      <c r="A13" s="66">
        <v>2</v>
      </c>
      <c r="B13" s="67"/>
      <c r="C13" s="81">
        <v>204</v>
      </c>
      <c r="D13" s="77">
        <v>204</v>
      </c>
      <c r="E13" s="71">
        <v>0.38</v>
      </c>
      <c r="F13" s="71">
        <v>0.39</v>
      </c>
      <c r="G13" s="71">
        <v>0.38</v>
      </c>
      <c r="H13" s="71">
        <v>0.38</v>
      </c>
      <c r="I13" s="71">
        <v>0.38</v>
      </c>
      <c r="J13" s="71"/>
      <c r="K13" s="85">
        <v>26.09</v>
      </c>
      <c r="L13" s="144">
        <v>26.32</v>
      </c>
      <c r="M13" s="67" t="s">
        <v>89</v>
      </c>
      <c r="N13" s="67" t="s">
        <v>89</v>
      </c>
      <c r="O13" s="67"/>
      <c r="P13" s="75" t="s">
        <v>89</v>
      </c>
      <c r="Q13" s="75" t="s">
        <v>92</v>
      </c>
      <c r="R13" s="145">
        <v>27.4</v>
      </c>
      <c r="S13" s="64">
        <f t="shared" si="0"/>
        <v>13.417539066242314</v>
      </c>
      <c r="T13" s="57">
        <v>3</v>
      </c>
      <c r="U13" s="57"/>
      <c r="V13" s="57"/>
      <c r="W13" s="57">
        <f>W12+1</f>
        <v>2</v>
      </c>
      <c r="X13" s="143">
        <f t="shared" si="1"/>
        <v>0</v>
      </c>
      <c r="Y13" s="143">
        <f>IF(OR(K13&gt;Cuts!$B$16, L13&gt;Cuts!B$16), 1,0)</f>
        <v>0</v>
      </c>
      <c r="Z13" s="246">
        <f>IF(OR(C13&gt;Cuts!$C$16, D13&gt;Cuts!$C$16),1,0)</f>
        <v>0</v>
      </c>
      <c r="AA13" s="306">
        <f t="shared" si="2"/>
        <v>0</v>
      </c>
    </row>
    <row r="14" spans="1:28">
      <c r="A14" s="66">
        <v>3</v>
      </c>
      <c r="B14" s="67"/>
      <c r="C14" s="81">
        <v>204</v>
      </c>
      <c r="D14" s="77">
        <v>204</v>
      </c>
      <c r="E14" s="71">
        <v>0.38</v>
      </c>
      <c r="F14" s="71">
        <v>0.38</v>
      </c>
      <c r="G14" s="71">
        <v>0.38</v>
      </c>
      <c r="H14" s="71">
        <v>0.38</v>
      </c>
      <c r="I14" s="71">
        <v>0.38</v>
      </c>
      <c r="J14" s="71"/>
      <c r="K14" s="85">
        <v>26.34</v>
      </c>
      <c r="L14" s="144">
        <v>26.22</v>
      </c>
      <c r="M14" s="67" t="s">
        <v>89</v>
      </c>
      <c r="N14" s="67" t="s">
        <v>89</v>
      </c>
      <c r="O14" s="67" t="s">
        <v>89</v>
      </c>
      <c r="P14" s="75" t="s">
        <v>89</v>
      </c>
      <c r="Q14" s="106" t="s">
        <v>93</v>
      </c>
      <c r="R14" s="145">
        <v>27.9</v>
      </c>
      <c r="S14" s="64">
        <f t="shared" si="0"/>
        <v>13.695095918684704</v>
      </c>
      <c r="T14" s="57">
        <v>3</v>
      </c>
      <c r="U14" s="57"/>
      <c r="V14" s="57"/>
      <c r="W14" s="57">
        <f t="shared" ref="W14:W65" si="3">W13+1</f>
        <v>3</v>
      </c>
      <c r="X14" s="143">
        <f t="shared" si="1"/>
        <v>0</v>
      </c>
      <c r="Y14" s="143">
        <f>IF(OR(K14&gt;Cuts!$B$16, L14&gt;Cuts!B$16), 1,0)</f>
        <v>0</v>
      </c>
      <c r="Z14" s="246">
        <f>IF(OR(C14&gt;Cuts!$C$16, D14&gt;Cuts!$C$16),1,0)</f>
        <v>0</v>
      </c>
      <c r="AA14" s="306">
        <f t="shared" si="2"/>
        <v>0</v>
      </c>
    </row>
    <row r="15" spans="1:28">
      <c r="A15" s="66">
        <v>4</v>
      </c>
      <c r="B15" s="67"/>
      <c r="C15" s="81">
        <v>203</v>
      </c>
      <c r="D15" s="77">
        <v>203</v>
      </c>
      <c r="E15" s="71">
        <v>0.38</v>
      </c>
      <c r="F15" s="71">
        <v>0.38</v>
      </c>
      <c r="G15" s="71">
        <v>0.38</v>
      </c>
      <c r="H15" s="71">
        <v>0.39</v>
      </c>
      <c r="I15" s="71">
        <v>0.38</v>
      </c>
      <c r="J15" s="71"/>
      <c r="K15" s="85">
        <v>26.2</v>
      </c>
      <c r="L15" s="144">
        <v>26.1</v>
      </c>
      <c r="M15" s="67"/>
      <c r="N15" s="67"/>
      <c r="O15" s="67" t="s">
        <v>89</v>
      </c>
      <c r="P15" s="75"/>
      <c r="Q15" s="106" t="s">
        <v>93</v>
      </c>
      <c r="R15" s="145">
        <v>28.2</v>
      </c>
      <c r="S15" s="64">
        <f t="shared" si="0"/>
        <v>13.906505576730648</v>
      </c>
      <c r="T15" s="57">
        <v>3</v>
      </c>
      <c r="U15" s="57"/>
      <c r="V15" s="57"/>
      <c r="W15" s="57">
        <f t="shared" si="3"/>
        <v>4</v>
      </c>
      <c r="X15" s="143">
        <f t="shared" si="1"/>
        <v>0</v>
      </c>
      <c r="Y15" s="143">
        <f>IF(OR(K15&gt;Cuts!$B$16, L15&gt;Cuts!B$16), 1,0)</f>
        <v>0</v>
      </c>
      <c r="Z15" s="246">
        <f>IF(OR(C15&gt;Cuts!$C$16, D15&gt;Cuts!$C$16),1,0)</f>
        <v>0</v>
      </c>
      <c r="AA15" s="306">
        <f t="shared" si="2"/>
        <v>0</v>
      </c>
    </row>
    <row r="16" spans="1:28">
      <c r="A16" s="66">
        <v>5</v>
      </c>
      <c r="B16" s="67"/>
      <c r="C16" s="81">
        <v>203</v>
      </c>
      <c r="D16" s="77">
        <v>203</v>
      </c>
      <c r="E16" s="71">
        <v>0.38</v>
      </c>
      <c r="F16" s="71">
        <v>0.38</v>
      </c>
      <c r="G16" s="71">
        <v>0.39</v>
      </c>
      <c r="H16" s="71">
        <v>0.39</v>
      </c>
      <c r="I16" s="71">
        <v>0.39</v>
      </c>
      <c r="J16" s="71"/>
      <c r="K16" s="85">
        <v>26.31</v>
      </c>
      <c r="L16" s="144">
        <v>26.29</v>
      </c>
      <c r="M16" s="67" t="s">
        <v>89</v>
      </c>
      <c r="N16" s="67" t="s">
        <v>89</v>
      </c>
      <c r="O16" s="67" t="s">
        <v>89</v>
      </c>
      <c r="P16" s="75"/>
      <c r="Q16" s="75"/>
      <c r="R16" s="145">
        <v>28.6</v>
      </c>
      <c r="S16" s="64">
        <f t="shared" si="0"/>
        <v>13.878001882167611</v>
      </c>
      <c r="T16" s="57">
        <v>3</v>
      </c>
      <c r="U16" s="57"/>
      <c r="V16" s="57"/>
      <c r="W16" s="57">
        <f t="shared" si="3"/>
        <v>5</v>
      </c>
      <c r="X16" s="143">
        <f t="shared" si="1"/>
        <v>0</v>
      </c>
      <c r="Y16" s="143">
        <f>IF(OR(K16&gt;Cuts!$B$16, L16&gt;Cuts!B$16), 1,0)</f>
        <v>0</v>
      </c>
      <c r="Z16" s="246">
        <f>IF(OR(C16&gt;Cuts!$C$16, D16&gt;Cuts!$C$16),1,0)</f>
        <v>0</v>
      </c>
      <c r="AA16" s="306">
        <f t="shared" si="2"/>
        <v>0</v>
      </c>
    </row>
    <row r="17" spans="1:28">
      <c r="A17" s="66">
        <v>6</v>
      </c>
      <c r="B17" s="67"/>
      <c r="C17" s="81">
        <v>203</v>
      </c>
      <c r="D17" s="77">
        <v>203</v>
      </c>
      <c r="E17" s="71">
        <v>0.37</v>
      </c>
      <c r="F17" s="71">
        <v>0.38</v>
      </c>
      <c r="G17" s="71">
        <v>0.38</v>
      </c>
      <c r="H17" s="71">
        <v>0.38</v>
      </c>
      <c r="I17" s="71">
        <v>0.38</v>
      </c>
      <c r="J17" s="71"/>
      <c r="K17" s="85">
        <v>26.27</v>
      </c>
      <c r="L17" s="144">
        <v>26.02</v>
      </c>
      <c r="M17" s="67" t="s">
        <v>89</v>
      </c>
      <c r="N17" s="67" t="s">
        <v>89</v>
      </c>
      <c r="O17" s="67" t="s">
        <v>89</v>
      </c>
      <c r="P17" s="75"/>
      <c r="Q17" s="106"/>
      <c r="R17" s="145">
        <v>27.8</v>
      </c>
      <c r="S17" s="64">
        <f t="shared" si="0"/>
        <v>13.856971125406821</v>
      </c>
      <c r="T17" s="57">
        <v>3</v>
      </c>
      <c r="U17" s="57"/>
      <c r="V17" s="57"/>
      <c r="W17" s="57">
        <f t="shared" si="3"/>
        <v>6</v>
      </c>
      <c r="X17" s="143">
        <f t="shared" si="1"/>
        <v>0</v>
      </c>
      <c r="Y17" s="143">
        <f>IF(OR(K17&gt;Cuts!$B$16, L17&gt;Cuts!B$16), 1,0)</f>
        <v>0</v>
      </c>
      <c r="Z17" s="246">
        <f>IF(OR(C17&gt;Cuts!$C$16, D17&gt;Cuts!$C$16),1,0)</f>
        <v>0</v>
      </c>
      <c r="AA17" s="306">
        <f t="shared" si="2"/>
        <v>0</v>
      </c>
    </row>
    <row r="18" spans="1:28">
      <c r="A18" s="66">
        <v>7</v>
      </c>
      <c r="B18" s="67"/>
      <c r="C18" s="81">
        <v>203</v>
      </c>
      <c r="D18" s="77">
        <v>203</v>
      </c>
      <c r="E18" s="71">
        <v>0.38</v>
      </c>
      <c r="F18" s="71">
        <v>0.38</v>
      </c>
      <c r="G18" s="71">
        <v>0.38</v>
      </c>
      <c r="H18" s="71">
        <v>0.38</v>
      </c>
      <c r="I18" s="71">
        <v>0.38</v>
      </c>
      <c r="J18" s="71"/>
      <c r="K18" s="85">
        <v>26.27</v>
      </c>
      <c r="L18" s="144">
        <v>26.33</v>
      </c>
      <c r="M18" s="67" t="s">
        <v>89</v>
      </c>
      <c r="N18" s="67" t="s">
        <v>89</v>
      </c>
      <c r="O18" s="67" t="s">
        <v>89</v>
      </c>
      <c r="P18" s="75"/>
      <c r="Q18" s="106"/>
      <c r="R18" s="145">
        <v>28</v>
      </c>
      <c r="S18" s="64">
        <f t="shared" si="0"/>
        <v>13.80138427884317</v>
      </c>
      <c r="T18" s="57">
        <v>3</v>
      </c>
      <c r="U18" s="57"/>
      <c r="V18" s="57"/>
      <c r="W18" s="57">
        <f t="shared" si="3"/>
        <v>7</v>
      </c>
      <c r="X18" s="143">
        <f t="shared" si="1"/>
        <v>0</v>
      </c>
      <c r="Y18" s="143">
        <f>IF(OR(K18&gt;Cuts!$B$16, L18&gt;Cuts!B$16), 1,0)</f>
        <v>0</v>
      </c>
      <c r="Z18" s="246">
        <f>IF(OR(C18&gt;Cuts!$C$16, D18&gt;Cuts!$C$16),1,0)</f>
        <v>0</v>
      </c>
      <c r="AA18" s="306">
        <f t="shared" si="2"/>
        <v>0</v>
      </c>
    </row>
    <row r="19" spans="1:28">
      <c r="A19" s="66">
        <v>8</v>
      </c>
      <c r="B19" s="67"/>
      <c r="C19" s="81">
        <v>204</v>
      </c>
      <c r="D19" s="77">
        <v>204</v>
      </c>
      <c r="E19" s="71">
        <v>0.37</v>
      </c>
      <c r="F19" s="71">
        <v>0.38</v>
      </c>
      <c r="G19" s="71">
        <v>0.37</v>
      </c>
      <c r="H19" s="71">
        <v>0.38</v>
      </c>
      <c r="I19" s="71">
        <v>0.37</v>
      </c>
      <c r="J19" s="71"/>
      <c r="K19" s="85">
        <v>26.11</v>
      </c>
      <c r="L19" s="144">
        <v>26.19</v>
      </c>
      <c r="M19" s="67" t="s">
        <v>89</v>
      </c>
      <c r="N19" s="67" t="s">
        <v>89</v>
      </c>
      <c r="O19" s="67"/>
      <c r="P19" s="75"/>
      <c r="Q19" s="106"/>
      <c r="R19" s="145">
        <v>27.6</v>
      </c>
      <c r="S19" s="64">
        <f t="shared" si="0"/>
        <v>13.83361291265517</v>
      </c>
      <c r="T19" s="57">
        <v>3</v>
      </c>
      <c r="U19" s="57"/>
      <c r="V19" s="57"/>
      <c r="W19" s="57">
        <f t="shared" si="3"/>
        <v>8</v>
      </c>
      <c r="X19" s="143">
        <f t="shared" si="1"/>
        <v>0</v>
      </c>
      <c r="Y19" s="143">
        <f>IF(OR(K19&gt;Cuts!$B$16, L19&gt;Cuts!B$16), 1,0)</f>
        <v>0</v>
      </c>
      <c r="Z19" s="246">
        <f>IF(OR(C19&gt;Cuts!$C$16, D19&gt;Cuts!$C$16),1,0)</f>
        <v>0</v>
      </c>
      <c r="AA19" s="306">
        <f t="shared" si="2"/>
        <v>0</v>
      </c>
    </row>
    <row r="20" spans="1:28">
      <c r="A20" s="66">
        <v>9</v>
      </c>
      <c r="B20" s="67"/>
      <c r="C20" s="81">
        <v>203</v>
      </c>
      <c r="D20" s="77">
        <v>203</v>
      </c>
      <c r="E20" s="71">
        <v>0.39</v>
      </c>
      <c r="F20" s="71">
        <v>0.39</v>
      </c>
      <c r="G20" s="71">
        <v>0.39</v>
      </c>
      <c r="H20" s="71">
        <v>0.39</v>
      </c>
      <c r="I20" s="71">
        <v>0.39</v>
      </c>
      <c r="J20" s="71"/>
      <c r="K20" s="85">
        <v>26.22</v>
      </c>
      <c r="L20" s="144">
        <v>26.32</v>
      </c>
      <c r="M20" s="67" t="s">
        <v>89</v>
      </c>
      <c r="N20" s="67"/>
      <c r="O20" s="67" t="s">
        <v>89</v>
      </c>
      <c r="P20" s="75" t="s">
        <v>89</v>
      </c>
      <c r="Q20" s="106" t="s">
        <v>94</v>
      </c>
      <c r="R20" s="145">
        <v>27.7</v>
      </c>
      <c r="S20" s="64">
        <f t="shared" si="0"/>
        <v>13.318614581363487</v>
      </c>
      <c r="T20" s="57">
        <v>3</v>
      </c>
      <c r="U20" s="57"/>
      <c r="V20" s="57"/>
      <c r="W20" s="57">
        <f t="shared" si="3"/>
        <v>9</v>
      </c>
      <c r="X20" s="143">
        <f t="shared" si="1"/>
        <v>0</v>
      </c>
      <c r="Y20" s="143">
        <f>IF(OR(K20&gt;Cuts!$B$16, L20&gt;Cuts!B$16), 1,0)</f>
        <v>0</v>
      </c>
      <c r="Z20" s="246">
        <f>IF(OR(C20&gt;Cuts!$C$16, D20&gt;Cuts!$C$16),1,0)</f>
        <v>0</v>
      </c>
      <c r="AA20" s="306">
        <f t="shared" si="2"/>
        <v>0</v>
      </c>
    </row>
    <row r="21" spans="1:28">
      <c r="A21" s="66">
        <v>10</v>
      </c>
      <c r="B21" s="67"/>
      <c r="C21" s="81">
        <v>204</v>
      </c>
      <c r="D21" s="77">
        <v>204</v>
      </c>
      <c r="E21" s="71">
        <v>0.39</v>
      </c>
      <c r="F21" s="71">
        <v>0.39</v>
      </c>
      <c r="G21" s="71">
        <v>0.38</v>
      </c>
      <c r="H21" s="71">
        <v>0.39</v>
      </c>
      <c r="I21" s="71">
        <v>0.39</v>
      </c>
      <c r="J21" s="71"/>
      <c r="K21" s="85">
        <v>26.38</v>
      </c>
      <c r="L21" s="144">
        <v>26.43</v>
      </c>
      <c r="M21" s="67" t="s">
        <v>89</v>
      </c>
      <c r="N21" s="67"/>
      <c r="O21" s="67"/>
      <c r="P21" s="75"/>
      <c r="Q21" s="75"/>
      <c r="R21" s="145">
        <v>28</v>
      </c>
      <c r="S21" s="64">
        <f t="shared" si="0"/>
        <v>13.39707431628892</v>
      </c>
      <c r="T21" s="57">
        <v>3</v>
      </c>
      <c r="U21" s="57"/>
      <c r="V21" s="57"/>
      <c r="W21" s="57">
        <f t="shared" si="3"/>
        <v>10</v>
      </c>
      <c r="X21" s="143">
        <f t="shared" si="1"/>
        <v>0</v>
      </c>
      <c r="Y21" s="143">
        <f>IF(OR(K21&gt;Cuts!$B$16, L21&gt;Cuts!B$16), 1,0)</f>
        <v>0</v>
      </c>
      <c r="Z21" s="246">
        <f>IF(OR(C21&gt;Cuts!$C$16, D21&gt;Cuts!$C$16),1,0)</f>
        <v>0</v>
      </c>
      <c r="AA21" s="306">
        <f t="shared" si="2"/>
        <v>0</v>
      </c>
    </row>
    <row r="22" spans="1:28">
      <c r="A22" s="66">
        <v>11</v>
      </c>
      <c r="B22" s="67"/>
      <c r="C22" s="81">
        <v>204</v>
      </c>
      <c r="D22" s="77">
        <v>203</v>
      </c>
      <c r="E22" s="71">
        <v>0.38</v>
      </c>
      <c r="F22" s="71">
        <v>0.38</v>
      </c>
      <c r="G22" s="71">
        <v>0.38</v>
      </c>
      <c r="H22" s="71">
        <v>0.38</v>
      </c>
      <c r="I22" s="71">
        <v>0.38</v>
      </c>
      <c r="J22" s="71"/>
      <c r="K22" s="85">
        <v>26.35</v>
      </c>
      <c r="L22" s="144">
        <v>26.06</v>
      </c>
      <c r="M22" s="67" t="s">
        <v>89</v>
      </c>
      <c r="N22" s="67"/>
      <c r="O22" s="67" t="s">
        <v>88</v>
      </c>
      <c r="P22" s="75" t="s">
        <v>89</v>
      </c>
      <c r="Q22" s="106" t="s">
        <v>94</v>
      </c>
      <c r="R22" s="145">
        <v>27.7</v>
      </c>
      <c r="S22" s="64">
        <f t="shared" si="0"/>
        <v>13.669341539675647</v>
      </c>
      <c r="T22" s="57">
        <v>3</v>
      </c>
      <c r="U22" s="57"/>
      <c r="V22" s="57"/>
      <c r="W22" s="57">
        <f t="shared" si="3"/>
        <v>11</v>
      </c>
      <c r="X22" s="143">
        <f t="shared" si="1"/>
        <v>0</v>
      </c>
      <c r="Y22" s="143">
        <f>IF(OR(K22&gt;Cuts!$B$16, L22&gt;Cuts!B$16), 1,0)</f>
        <v>0</v>
      </c>
      <c r="Z22" s="246">
        <f>IF(OR(C22&gt;Cuts!$C$16, D22&gt;Cuts!$C$16),1,0)</f>
        <v>0</v>
      </c>
      <c r="AA22" s="306">
        <f t="shared" si="2"/>
        <v>1</v>
      </c>
    </row>
    <row r="23" spans="1:28">
      <c r="A23" s="800">
        <v>12</v>
      </c>
      <c r="B23" s="67"/>
      <c r="C23" s="81">
        <v>204</v>
      </c>
      <c r="D23" s="77">
        <v>204</v>
      </c>
      <c r="E23" s="71">
        <v>0.37</v>
      </c>
      <c r="F23" s="71">
        <v>0.36</v>
      </c>
      <c r="G23" s="71">
        <v>0.37</v>
      </c>
      <c r="H23" s="71">
        <v>0.36</v>
      </c>
      <c r="I23" s="71">
        <v>0.37</v>
      </c>
      <c r="J23" s="71"/>
      <c r="K23" s="85">
        <v>26.36</v>
      </c>
      <c r="L23" s="144">
        <v>26.16</v>
      </c>
      <c r="M23" s="67" t="s">
        <v>89</v>
      </c>
      <c r="N23" s="67"/>
      <c r="O23" s="67" t="s">
        <v>89</v>
      </c>
      <c r="P23" s="75" t="s">
        <v>89</v>
      </c>
      <c r="Q23" s="75"/>
      <c r="R23" s="145">
        <v>27</v>
      </c>
      <c r="S23" s="64">
        <f t="shared" si="0"/>
        <v>13.770756201797763</v>
      </c>
      <c r="T23" s="57">
        <v>3</v>
      </c>
      <c r="U23" s="57"/>
      <c r="V23" s="57"/>
      <c r="W23" s="801">
        <f t="shared" si="3"/>
        <v>12</v>
      </c>
      <c r="X23" s="143">
        <f t="shared" si="1"/>
        <v>0</v>
      </c>
      <c r="Y23" s="143">
        <f>IF(OR(K23&gt;Cuts!$B$16, L23&gt;Cuts!B$16), 1,0)</f>
        <v>0</v>
      </c>
      <c r="Z23" s="246">
        <f>IF(OR(C23&gt;Cuts!$C$16, D23&gt;Cuts!$C$16),1,0)</f>
        <v>0</v>
      </c>
      <c r="AA23" s="306">
        <f t="shared" si="2"/>
        <v>0</v>
      </c>
    </row>
    <row r="24" spans="1:28">
      <c r="A24" s="66">
        <v>13</v>
      </c>
      <c r="B24" s="67"/>
      <c r="C24" s="81">
        <v>204</v>
      </c>
      <c r="D24" s="77">
        <v>204</v>
      </c>
      <c r="E24" s="71">
        <v>0.39</v>
      </c>
      <c r="F24" s="71">
        <v>0.39</v>
      </c>
      <c r="G24" s="71">
        <v>0.39</v>
      </c>
      <c r="H24" s="71">
        <v>0.39</v>
      </c>
      <c r="I24" s="71">
        <v>0.39</v>
      </c>
      <c r="J24" s="71"/>
      <c r="K24" s="85">
        <v>26.29</v>
      </c>
      <c r="L24" s="144">
        <v>26.23</v>
      </c>
      <c r="M24" s="67" t="s">
        <v>89</v>
      </c>
      <c r="N24" s="67" t="s">
        <v>89</v>
      </c>
      <c r="O24" s="67"/>
      <c r="P24" s="75" t="s">
        <v>89</v>
      </c>
      <c r="Q24" s="106" t="s">
        <v>94</v>
      </c>
      <c r="R24" s="145">
        <v>28.4</v>
      </c>
      <c r="S24" s="64">
        <f t="shared" si="0"/>
        <v>13.593423386891422</v>
      </c>
      <c r="T24" s="57">
        <v>3</v>
      </c>
      <c r="U24" s="57"/>
      <c r="V24" s="57"/>
      <c r="W24" s="57">
        <f t="shared" si="3"/>
        <v>13</v>
      </c>
      <c r="X24" s="143">
        <f t="shared" si="1"/>
        <v>0</v>
      </c>
      <c r="Y24" s="143">
        <f>IF(OR(K24&gt;Cuts!$B$16, L24&gt;Cuts!B$16), 1,0)</f>
        <v>0</v>
      </c>
      <c r="Z24" s="246">
        <f>IF(OR(C24&gt;Cuts!$C$16, D24&gt;Cuts!$C$16),1,0)</f>
        <v>0</v>
      </c>
      <c r="AA24" s="306">
        <f t="shared" si="2"/>
        <v>0</v>
      </c>
    </row>
    <row r="25" spans="1:28">
      <c r="A25" s="66">
        <v>14</v>
      </c>
      <c r="B25" s="67"/>
      <c r="C25" s="81">
        <v>204</v>
      </c>
      <c r="D25" s="77">
        <v>204</v>
      </c>
      <c r="E25" s="71">
        <v>0.39</v>
      </c>
      <c r="F25" s="71">
        <v>0.39</v>
      </c>
      <c r="G25" s="71">
        <v>0.39</v>
      </c>
      <c r="H25" s="71">
        <v>0.39</v>
      </c>
      <c r="I25" s="71">
        <v>0.39</v>
      </c>
      <c r="J25" s="71"/>
      <c r="K25" s="85">
        <v>26.18</v>
      </c>
      <c r="L25" s="144">
        <v>26.32</v>
      </c>
      <c r="M25" s="67" t="s">
        <v>89</v>
      </c>
      <c r="N25" s="67" t="s">
        <v>88</v>
      </c>
      <c r="O25" s="67" t="s">
        <v>89</v>
      </c>
      <c r="P25" s="75" t="s">
        <v>89</v>
      </c>
      <c r="Q25" s="106" t="s">
        <v>93</v>
      </c>
      <c r="R25" s="145">
        <v>28.3</v>
      </c>
      <c r="S25" s="64">
        <f t="shared" si="0"/>
        <v>13.550719433072372</v>
      </c>
      <c r="T25" s="57">
        <v>3</v>
      </c>
      <c r="U25" s="57"/>
      <c r="V25" s="57"/>
      <c r="W25" s="57">
        <f t="shared" si="3"/>
        <v>14</v>
      </c>
      <c r="X25" s="143">
        <f t="shared" si="1"/>
        <v>0</v>
      </c>
      <c r="Y25" s="143">
        <f>IF(OR(K25&gt;Cuts!$B$16, L25&gt;Cuts!B$16), 1,0)</f>
        <v>0</v>
      </c>
      <c r="Z25" s="246">
        <f>IF(OR(C25&gt;Cuts!$C$16, D25&gt;Cuts!$C$16),1,0)</f>
        <v>0</v>
      </c>
      <c r="AA25" s="306">
        <f t="shared" si="2"/>
        <v>1</v>
      </c>
    </row>
    <row r="26" spans="1:28">
      <c r="A26" s="66">
        <v>15</v>
      </c>
      <c r="B26" s="67"/>
      <c r="C26" s="81">
        <v>204</v>
      </c>
      <c r="D26" s="77">
        <v>204</v>
      </c>
      <c r="E26" s="71">
        <v>0.39</v>
      </c>
      <c r="F26" s="71">
        <v>0.39</v>
      </c>
      <c r="G26" s="71">
        <v>0.39</v>
      </c>
      <c r="H26" s="71">
        <v>0.39</v>
      </c>
      <c r="I26" s="71">
        <v>0.39</v>
      </c>
      <c r="J26" s="71"/>
      <c r="K26" s="85">
        <v>26.34</v>
      </c>
      <c r="L26" s="144">
        <v>25.93</v>
      </c>
      <c r="M26" s="67" t="s">
        <v>89</v>
      </c>
      <c r="N26" s="67" t="s">
        <v>89</v>
      </c>
      <c r="O26" s="67" t="s">
        <v>89</v>
      </c>
      <c r="P26" s="75" t="s">
        <v>89</v>
      </c>
      <c r="Q26" s="106" t="s">
        <v>93</v>
      </c>
      <c r="R26" s="145">
        <v>28.3</v>
      </c>
      <c r="S26" s="64">
        <f t="shared" si="0"/>
        <v>13.610345709514053</v>
      </c>
      <c r="T26" s="57">
        <v>3</v>
      </c>
      <c r="U26" s="57"/>
      <c r="V26" s="57"/>
      <c r="W26" s="57">
        <f t="shared" si="3"/>
        <v>15</v>
      </c>
      <c r="X26" s="143">
        <f t="shared" si="1"/>
        <v>0</v>
      </c>
      <c r="Y26" s="143">
        <f>IF(OR(K26&gt;Cuts!$B$16, L26&gt;Cuts!B$16), 1,0)</f>
        <v>0</v>
      </c>
      <c r="Z26" s="246">
        <f>IF(OR(C26&gt;Cuts!$C$16, D26&gt;Cuts!$C$16),1,0)</f>
        <v>0</v>
      </c>
      <c r="AA26" s="306">
        <f t="shared" si="2"/>
        <v>0</v>
      </c>
    </row>
    <row r="27" spans="1:28">
      <c r="A27" s="171">
        <v>16</v>
      </c>
      <c r="B27" s="67"/>
      <c r="C27" s="81">
        <v>204</v>
      </c>
      <c r="D27" s="77">
        <v>204</v>
      </c>
      <c r="E27" s="71">
        <v>0.4</v>
      </c>
      <c r="F27" s="71">
        <v>0.39</v>
      </c>
      <c r="G27" s="71">
        <v>0.39</v>
      </c>
      <c r="H27" s="71">
        <v>0.39</v>
      </c>
      <c r="I27" s="71">
        <v>0.4</v>
      </c>
      <c r="J27" s="71"/>
      <c r="K27" s="85">
        <v>26.25</v>
      </c>
      <c r="L27" s="144">
        <v>26.19</v>
      </c>
      <c r="M27" s="67" t="s">
        <v>89</v>
      </c>
      <c r="N27" s="67" t="s">
        <v>89</v>
      </c>
      <c r="O27" s="67"/>
      <c r="P27" s="75" t="s">
        <v>89</v>
      </c>
      <c r="Q27" s="75"/>
      <c r="R27" s="145">
        <v>28.7</v>
      </c>
      <c r="S27" s="64">
        <f t="shared" si="0"/>
        <v>13.618297586393528</v>
      </c>
      <c r="T27" s="57">
        <v>3</v>
      </c>
      <c r="U27" s="57"/>
      <c r="V27" s="57"/>
      <c r="W27" s="784">
        <f t="shared" si="3"/>
        <v>16</v>
      </c>
      <c r="X27" s="143">
        <f t="shared" si="1"/>
        <v>0</v>
      </c>
      <c r="Y27" s="143">
        <f>IF(OR(K27&gt;Cuts!$B$16, L27&gt;Cuts!B$16), 1,0)</f>
        <v>0</v>
      </c>
      <c r="Z27" s="246">
        <f>IF(OR(C27&gt;Cuts!$C$16, D27&gt;Cuts!$C$16),1,0)</f>
        <v>0</v>
      </c>
      <c r="AA27" s="306">
        <f t="shared" si="2"/>
        <v>0</v>
      </c>
      <c r="AB27" t="s">
        <v>416</v>
      </c>
    </row>
    <row r="28" spans="1:28">
      <c r="A28" s="66">
        <v>17</v>
      </c>
      <c r="B28" s="67"/>
      <c r="C28" s="81">
        <v>204</v>
      </c>
      <c r="D28" s="77">
        <v>204</v>
      </c>
      <c r="E28" s="71">
        <v>0.39</v>
      </c>
      <c r="F28" s="71">
        <v>0.39</v>
      </c>
      <c r="G28" s="71">
        <v>0.39</v>
      </c>
      <c r="H28" s="71">
        <v>0.39</v>
      </c>
      <c r="I28" s="71">
        <v>0.39</v>
      </c>
      <c r="J28" s="71"/>
      <c r="K28" s="85">
        <v>26.28</v>
      </c>
      <c r="L28" s="144">
        <v>26.23</v>
      </c>
      <c r="M28" s="67" t="s">
        <v>89</v>
      </c>
      <c r="N28" s="67" t="s">
        <v>89</v>
      </c>
      <c r="O28" s="67" t="s">
        <v>89</v>
      </c>
      <c r="P28" s="75" t="s">
        <v>89</v>
      </c>
      <c r="Q28" s="75" t="s">
        <v>92</v>
      </c>
      <c r="R28" s="145">
        <v>28.5</v>
      </c>
      <c r="S28" s="64">
        <f t="shared" si="0"/>
        <v>13.643885399405354</v>
      </c>
      <c r="T28" s="57">
        <v>3</v>
      </c>
      <c r="U28" s="57"/>
      <c r="V28" s="57"/>
      <c r="W28" s="57">
        <f t="shared" si="3"/>
        <v>17</v>
      </c>
      <c r="X28" s="143">
        <f t="shared" si="1"/>
        <v>0</v>
      </c>
      <c r="Y28" s="143">
        <f>IF(OR(K28&gt;Cuts!$B$16, L28&gt;Cuts!B$16), 1,0)</f>
        <v>0</v>
      </c>
      <c r="Z28" s="246">
        <f>IF(OR(C28&gt;Cuts!$C$16, D28&gt;Cuts!$C$16),1,0)</f>
        <v>0</v>
      </c>
      <c r="AA28" s="306">
        <f t="shared" si="2"/>
        <v>0</v>
      </c>
    </row>
    <row r="29" spans="1:28">
      <c r="A29" s="66">
        <v>18</v>
      </c>
      <c r="B29" s="67"/>
      <c r="C29" s="81">
        <v>204</v>
      </c>
      <c r="D29" s="77">
        <v>204</v>
      </c>
      <c r="E29" s="71">
        <v>0.38</v>
      </c>
      <c r="F29" s="71">
        <v>0.38</v>
      </c>
      <c r="G29" s="71">
        <v>0.38</v>
      </c>
      <c r="H29" s="71">
        <v>0.38</v>
      </c>
      <c r="I29" s="71">
        <v>0.38</v>
      </c>
      <c r="J29" s="71"/>
      <c r="K29" s="85">
        <v>26.46</v>
      </c>
      <c r="L29" s="144">
        <v>26.3</v>
      </c>
      <c r="M29" s="67"/>
      <c r="N29" s="67" t="s">
        <v>89</v>
      </c>
      <c r="O29" s="67"/>
      <c r="P29" s="75" t="s">
        <v>89</v>
      </c>
      <c r="Q29" s="75"/>
      <c r="R29" s="145">
        <v>27.8</v>
      </c>
      <c r="S29" s="64">
        <f t="shared" si="0"/>
        <v>13.594280934910973</v>
      </c>
      <c r="T29" s="57">
        <v>3</v>
      </c>
      <c r="U29" s="57"/>
      <c r="V29" s="57"/>
      <c r="W29" s="57">
        <f t="shared" si="3"/>
        <v>18</v>
      </c>
      <c r="X29" s="143">
        <f t="shared" si="1"/>
        <v>0</v>
      </c>
      <c r="Y29" s="143">
        <f>IF(OR(K29&gt;Cuts!$B$16, L29&gt;Cuts!B$16), 1,0)</f>
        <v>0</v>
      </c>
      <c r="Z29" s="246">
        <f>IF(OR(C29&gt;Cuts!$C$16, D29&gt;Cuts!$C$16),1,0)</f>
        <v>0</v>
      </c>
      <c r="AA29" s="306">
        <f t="shared" si="2"/>
        <v>0</v>
      </c>
    </row>
    <row r="30" spans="1:28">
      <c r="A30" s="66">
        <v>19</v>
      </c>
      <c r="B30" s="67"/>
      <c r="C30" s="81">
        <v>204</v>
      </c>
      <c r="D30" s="77">
        <v>204</v>
      </c>
      <c r="E30" s="71">
        <v>0.37</v>
      </c>
      <c r="F30" s="71">
        <v>0.37</v>
      </c>
      <c r="G30" s="71">
        <v>0.37</v>
      </c>
      <c r="H30" s="71">
        <v>0.37</v>
      </c>
      <c r="I30" s="71">
        <v>0.38</v>
      </c>
      <c r="J30" s="71"/>
      <c r="K30" s="85">
        <v>26.04</v>
      </c>
      <c r="L30" s="144">
        <v>26.31</v>
      </c>
      <c r="M30" s="67" t="s">
        <v>88</v>
      </c>
      <c r="N30" s="67"/>
      <c r="O30" s="67" t="s">
        <v>89</v>
      </c>
      <c r="P30" s="75"/>
      <c r="Q30" s="75"/>
      <c r="R30" s="145">
        <v>27.6</v>
      </c>
      <c r="S30" s="64">
        <f t="shared" si="0"/>
        <v>13.894703520253344</v>
      </c>
      <c r="T30" s="57">
        <v>3</v>
      </c>
      <c r="U30" s="57"/>
      <c r="V30" s="57"/>
      <c r="W30" s="57">
        <f t="shared" si="3"/>
        <v>19</v>
      </c>
      <c r="X30" s="143">
        <f t="shared" si="1"/>
        <v>0</v>
      </c>
      <c r="Y30" s="143">
        <f>IF(OR(K30&gt;Cuts!$B$16, L30&gt;Cuts!B$16), 1,0)</f>
        <v>0</v>
      </c>
      <c r="Z30" s="246">
        <f>IF(OR(C30&gt;Cuts!$C$16, D30&gt;Cuts!$C$16),1,0)</f>
        <v>0</v>
      </c>
      <c r="AA30" s="306">
        <f t="shared" si="2"/>
        <v>1</v>
      </c>
    </row>
    <row r="31" spans="1:28">
      <c r="A31" s="66">
        <v>20</v>
      </c>
      <c r="B31" s="80"/>
      <c r="C31" s="81">
        <v>204</v>
      </c>
      <c r="D31" s="77">
        <v>204</v>
      </c>
      <c r="E31" s="107">
        <v>0.39</v>
      </c>
      <c r="F31" s="108">
        <v>0.39</v>
      </c>
      <c r="G31" s="108">
        <v>0.39</v>
      </c>
      <c r="H31" s="108">
        <v>0.39</v>
      </c>
      <c r="I31" s="108">
        <v>0.39</v>
      </c>
      <c r="J31" s="108"/>
      <c r="K31" s="146">
        <v>26.13</v>
      </c>
      <c r="L31" s="144">
        <v>26.21</v>
      </c>
      <c r="M31" s="80"/>
      <c r="N31" s="80"/>
      <c r="O31" s="110"/>
      <c r="P31" s="75" t="s">
        <v>89</v>
      </c>
      <c r="Q31" s="75"/>
      <c r="R31" s="145">
        <v>28.4</v>
      </c>
      <c r="S31" s="64">
        <f t="shared" si="0"/>
        <v>13.640171881534915</v>
      </c>
      <c r="T31" s="57">
        <v>3</v>
      </c>
      <c r="U31" s="57"/>
      <c r="V31" s="57"/>
      <c r="W31" s="57">
        <f t="shared" si="3"/>
        <v>20</v>
      </c>
      <c r="X31" s="143">
        <f t="shared" si="1"/>
        <v>0</v>
      </c>
      <c r="Y31" s="143">
        <f>IF(OR(K31&gt;Cuts!$B$16, L31&gt;Cuts!B$16), 1,0)</f>
        <v>0</v>
      </c>
      <c r="Z31" s="246">
        <f>IF(OR(C31&gt;Cuts!$C$16, D31&gt;Cuts!$C$16),1,0)</f>
        <v>0</v>
      </c>
      <c r="AA31" s="306">
        <f t="shared" si="2"/>
        <v>0</v>
      </c>
    </row>
    <row r="32" spans="1:28">
      <c r="A32" s="66">
        <v>21</v>
      </c>
      <c r="B32" s="80"/>
      <c r="C32" s="81">
        <v>204</v>
      </c>
      <c r="D32" s="77">
        <v>204</v>
      </c>
      <c r="E32" s="107">
        <v>0.37</v>
      </c>
      <c r="F32" s="108">
        <v>0.37</v>
      </c>
      <c r="G32" s="108">
        <v>0.37</v>
      </c>
      <c r="H32" s="108">
        <v>0.37</v>
      </c>
      <c r="I32" s="108">
        <v>0.37</v>
      </c>
      <c r="J32" s="108"/>
      <c r="K32" s="146">
        <v>26.28</v>
      </c>
      <c r="L32" s="144">
        <v>26.04</v>
      </c>
      <c r="M32" s="80" t="s">
        <v>89</v>
      </c>
      <c r="N32" s="80"/>
      <c r="O32" s="110" t="s">
        <v>88</v>
      </c>
      <c r="P32" s="75" t="s">
        <v>89</v>
      </c>
      <c r="Q32" s="106" t="s">
        <v>94</v>
      </c>
      <c r="R32" s="145">
        <v>27.5</v>
      </c>
      <c r="S32" s="64">
        <f t="shared" si="0"/>
        <v>13.927175961714548</v>
      </c>
      <c r="T32" s="57">
        <v>3</v>
      </c>
      <c r="U32" s="57"/>
      <c r="V32" s="57"/>
      <c r="W32" s="57">
        <f t="shared" si="3"/>
        <v>21</v>
      </c>
      <c r="X32" s="143">
        <f t="shared" si="1"/>
        <v>0</v>
      </c>
      <c r="Y32" s="143">
        <f>IF(OR(K32&gt;Cuts!$B$16, L32&gt;Cuts!B$16), 1,0)</f>
        <v>0</v>
      </c>
      <c r="Z32" s="246">
        <f>IF(OR(C32&gt;Cuts!$C$16, D32&gt;Cuts!$C$16),1,0)</f>
        <v>0</v>
      </c>
      <c r="AA32" s="306">
        <f t="shared" si="2"/>
        <v>1</v>
      </c>
    </row>
    <row r="33" spans="1:27">
      <c r="A33" s="66">
        <v>22</v>
      </c>
      <c r="B33" s="80"/>
      <c r="C33" s="81">
        <v>204</v>
      </c>
      <c r="D33" s="77">
        <v>204</v>
      </c>
      <c r="E33" s="107">
        <v>0.37</v>
      </c>
      <c r="F33" s="108">
        <v>0.38</v>
      </c>
      <c r="G33" s="108">
        <v>0.38</v>
      </c>
      <c r="H33" s="108">
        <v>0.38</v>
      </c>
      <c r="I33" s="108">
        <v>0.37</v>
      </c>
      <c r="J33" s="108"/>
      <c r="K33" s="146">
        <v>26.03</v>
      </c>
      <c r="L33" s="144">
        <v>26.34</v>
      </c>
      <c r="M33" s="80" t="s">
        <v>89</v>
      </c>
      <c r="N33" s="80" t="s">
        <v>89</v>
      </c>
      <c r="O33" s="110" t="s">
        <v>89</v>
      </c>
      <c r="P33" s="75" t="s">
        <v>89</v>
      </c>
      <c r="Q33" s="75" t="s">
        <v>92</v>
      </c>
      <c r="R33" s="145">
        <v>27.6</v>
      </c>
      <c r="S33" s="64">
        <f t="shared" si="0"/>
        <v>13.741637616048129</v>
      </c>
      <c r="T33" s="57">
        <v>3</v>
      </c>
      <c r="U33" s="57"/>
      <c r="V33" s="57"/>
      <c r="W33" s="57">
        <f t="shared" si="3"/>
        <v>22</v>
      </c>
      <c r="X33" s="143">
        <f t="shared" si="1"/>
        <v>0</v>
      </c>
      <c r="Y33" s="143">
        <f>IF(OR(K33&gt;Cuts!$B$16, L33&gt;Cuts!B$16), 1,0)</f>
        <v>0</v>
      </c>
      <c r="Z33" s="246">
        <f>IF(OR(C33&gt;Cuts!$C$16, D33&gt;Cuts!$C$16),1,0)</f>
        <v>0</v>
      </c>
      <c r="AA33" s="306">
        <f t="shared" si="2"/>
        <v>0</v>
      </c>
    </row>
    <row r="34" spans="1:27">
      <c r="A34" s="66">
        <v>23</v>
      </c>
      <c r="B34" s="80"/>
      <c r="C34" s="81">
        <v>204</v>
      </c>
      <c r="D34" s="77">
        <v>204</v>
      </c>
      <c r="E34" s="107">
        <v>0.38</v>
      </c>
      <c r="F34" s="108">
        <v>0.38</v>
      </c>
      <c r="G34" s="108">
        <v>0.38</v>
      </c>
      <c r="H34" s="108">
        <v>0.38</v>
      </c>
      <c r="I34" s="108">
        <v>0.38</v>
      </c>
      <c r="J34" s="108"/>
      <c r="K34" s="146">
        <v>26.35</v>
      </c>
      <c r="L34" s="144">
        <v>26.3</v>
      </c>
      <c r="M34" s="80" t="s">
        <v>89</v>
      </c>
      <c r="N34" s="80"/>
      <c r="O34" s="110" t="s">
        <v>89</v>
      </c>
      <c r="P34" s="75"/>
      <c r="Q34" s="106" t="s">
        <v>93</v>
      </c>
      <c r="R34" s="145">
        <v>27.8</v>
      </c>
      <c r="S34" s="64">
        <f t="shared" si="0"/>
        <v>13.62268304132769</v>
      </c>
      <c r="T34" s="57">
        <v>3</v>
      </c>
      <c r="U34" s="57"/>
      <c r="V34" s="57"/>
      <c r="W34" s="57">
        <f t="shared" si="3"/>
        <v>23</v>
      </c>
      <c r="X34" s="143">
        <f t="shared" si="1"/>
        <v>0</v>
      </c>
      <c r="Y34" s="143">
        <f>IF(OR(K34&gt;Cuts!$B$16, L34&gt;Cuts!B$16), 1,0)</f>
        <v>0</v>
      </c>
      <c r="Z34" s="246">
        <f>IF(OR(C34&gt;Cuts!$C$16, D34&gt;Cuts!$C$16),1,0)</f>
        <v>0</v>
      </c>
      <c r="AA34" s="306">
        <f t="shared" si="2"/>
        <v>0</v>
      </c>
    </row>
    <row r="35" spans="1:27">
      <c r="A35" s="66">
        <v>24</v>
      </c>
      <c r="B35" s="80"/>
      <c r="C35" s="81">
        <v>204</v>
      </c>
      <c r="D35" s="77">
        <v>204</v>
      </c>
      <c r="E35" s="107">
        <v>0.39</v>
      </c>
      <c r="F35" s="108">
        <v>0.39</v>
      </c>
      <c r="G35" s="108">
        <v>0.39</v>
      </c>
      <c r="H35" s="108">
        <v>0.39</v>
      </c>
      <c r="I35" s="108">
        <v>0.39</v>
      </c>
      <c r="J35" s="108"/>
      <c r="K35" s="146">
        <v>26.27</v>
      </c>
      <c r="L35" s="144">
        <v>26.16</v>
      </c>
      <c r="M35" s="80" t="s">
        <v>89</v>
      </c>
      <c r="N35" s="80"/>
      <c r="O35" s="110"/>
      <c r="P35" s="75"/>
      <c r="Q35" s="106" t="s">
        <v>94</v>
      </c>
      <c r="R35" s="145">
        <v>28.1</v>
      </c>
      <c r="S35" s="64">
        <f t="shared" si="0"/>
        <v>13.472918522788939</v>
      </c>
      <c r="T35" s="57">
        <v>3</v>
      </c>
      <c r="U35" s="57"/>
      <c r="V35" s="57"/>
      <c r="W35" s="57">
        <f t="shared" si="3"/>
        <v>24</v>
      </c>
      <c r="X35" s="143">
        <f t="shared" si="1"/>
        <v>0</v>
      </c>
      <c r="Y35" s="143">
        <f>IF(OR(K35&gt;Cuts!$B$16, L35&gt;Cuts!B$16), 1,0)</f>
        <v>0</v>
      </c>
      <c r="Z35" s="246">
        <f>IF(OR(C35&gt;Cuts!$C$16, D35&gt;Cuts!$C$16),1,0)</f>
        <v>0</v>
      </c>
      <c r="AA35" s="306">
        <f t="shared" si="2"/>
        <v>0</v>
      </c>
    </row>
    <row r="36" spans="1:27">
      <c r="A36" s="66">
        <v>25</v>
      </c>
      <c r="B36" s="80"/>
      <c r="C36" s="81">
        <v>204</v>
      </c>
      <c r="D36" s="77">
        <v>204</v>
      </c>
      <c r="E36" s="107">
        <v>0.38</v>
      </c>
      <c r="F36" s="108">
        <v>0.38</v>
      </c>
      <c r="G36" s="108">
        <v>0.39</v>
      </c>
      <c r="H36" s="108">
        <v>0.39</v>
      </c>
      <c r="I36" s="108">
        <v>0.39</v>
      </c>
      <c r="J36" s="108"/>
      <c r="K36" s="146">
        <v>26.37</v>
      </c>
      <c r="L36" s="144">
        <v>26.27</v>
      </c>
      <c r="M36" s="80" t="s">
        <v>89</v>
      </c>
      <c r="N36" s="80" t="s">
        <v>89</v>
      </c>
      <c r="O36" s="110" t="s">
        <v>89</v>
      </c>
      <c r="P36" s="75" t="s">
        <v>89</v>
      </c>
      <c r="Q36" s="106" t="s">
        <v>94</v>
      </c>
      <c r="R36" s="145">
        <v>28.2</v>
      </c>
      <c r="S36" s="64">
        <f t="shared" si="0"/>
        <v>13.606478860974439</v>
      </c>
      <c r="T36" s="57">
        <v>3</v>
      </c>
      <c r="U36" s="57"/>
      <c r="V36" s="57"/>
      <c r="W36" s="57">
        <f t="shared" si="3"/>
        <v>25</v>
      </c>
      <c r="X36" s="143">
        <f t="shared" si="1"/>
        <v>0</v>
      </c>
      <c r="Y36" s="143">
        <f>IF(OR(K36&gt;Cuts!$B$16, L36&gt;Cuts!B$16), 1,0)</f>
        <v>0</v>
      </c>
      <c r="Z36" s="246">
        <f>IF(OR(C36&gt;Cuts!$C$16, D36&gt;Cuts!$C$16),1,0)</f>
        <v>0</v>
      </c>
      <c r="AA36" s="306">
        <f t="shared" si="2"/>
        <v>0</v>
      </c>
    </row>
    <row r="37" spans="1:27" ht="30">
      <c r="A37" s="66">
        <v>26</v>
      </c>
      <c r="B37" s="80"/>
      <c r="C37" s="81">
        <v>204</v>
      </c>
      <c r="D37" s="77">
        <v>204</v>
      </c>
      <c r="E37" s="107">
        <v>0.39</v>
      </c>
      <c r="F37" s="108">
        <v>0.39</v>
      </c>
      <c r="G37" s="108">
        <v>0.39</v>
      </c>
      <c r="H37" s="108">
        <v>0.39</v>
      </c>
      <c r="I37" s="108">
        <v>0.39</v>
      </c>
      <c r="J37" s="108"/>
      <c r="K37" s="146">
        <v>26.35</v>
      </c>
      <c r="L37" s="144">
        <v>26.26</v>
      </c>
      <c r="M37" s="80" t="s">
        <v>89</v>
      </c>
      <c r="N37" s="80" t="s">
        <v>89</v>
      </c>
      <c r="O37" s="110" t="s">
        <v>89</v>
      </c>
      <c r="P37" s="75" t="s">
        <v>89</v>
      </c>
      <c r="Q37" s="75" t="s">
        <v>95</v>
      </c>
      <c r="R37" s="145">
        <v>28.5</v>
      </c>
      <c r="S37" s="64">
        <f t="shared" si="0"/>
        <v>13.617951384200252</v>
      </c>
      <c r="T37" s="57">
        <v>3</v>
      </c>
      <c r="U37" s="57"/>
      <c r="V37" s="57"/>
      <c r="W37" s="57">
        <f t="shared" si="3"/>
        <v>26</v>
      </c>
      <c r="X37" s="143">
        <f t="shared" si="1"/>
        <v>0</v>
      </c>
      <c r="Y37" s="143">
        <f>IF(OR(K37&gt;Cuts!$B$16, L37&gt;Cuts!B$16), 1,0)</f>
        <v>0</v>
      </c>
      <c r="Z37" s="246">
        <f>IF(OR(C37&gt;Cuts!$C$16, D37&gt;Cuts!$C$16),1,0)</f>
        <v>0</v>
      </c>
      <c r="AA37" s="306">
        <f t="shared" si="2"/>
        <v>0</v>
      </c>
    </row>
    <row r="38" spans="1:27">
      <c r="A38" s="66">
        <v>27</v>
      </c>
      <c r="B38" s="80"/>
      <c r="C38" s="81">
        <v>203</v>
      </c>
      <c r="D38" s="77">
        <v>203</v>
      </c>
      <c r="E38" s="107">
        <v>0.38</v>
      </c>
      <c r="F38" s="108">
        <v>0.38</v>
      </c>
      <c r="G38" s="108">
        <v>0.38</v>
      </c>
      <c r="H38" s="108">
        <v>0.38</v>
      </c>
      <c r="I38" s="108">
        <v>0.38</v>
      </c>
      <c r="J38" s="108"/>
      <c r="K38" s="146">
        <v>26.33</v>
      </c>
      <c r="L38" s="144">
        <v>26.06</v>
      </c>
      <c r="M38" s="80" t="s">
        <v>89</v>
      </c>
      <c r="N38" s="80" t="s">
        <v>89</v>
      </c>
      <c r="O38" s="110" t="s">
        <v>89</v>
      </c>
      <c r="P38" s="75" t="s">
        <v>89</v>
      </c>
      <c r="Q38" s="75"/>
      <c r="R38" s="145">
        <v>27.2</v>
      </c>
      <c r="S38" s="64">
        <f t="shared" si="0"/>
        <v>13.460799849634949</v>
      </c>
      <c r="T38" s="57">
        <v>3</v>
      </c>
      <c r="U38" s="57"/>
      <c r="V38" s="57"/>
      <c r="W38" s="57">
        <f t="shared" si="3"/>
        <v>27</v>
      </c>
      <c r="X38" s="143">
        <f t="shared" si="1"/>
        <v>0</v>
      </c>
      <c r="Y38" s="143">
        <f>IF(OR(K38&gt;Cuts!$B$16, L38&gt;Cuts!B$16), 1,0)</f>
        <v>0</v>
      </c>
      <c r="Z38" s="246">
        <f>IF(OR(C38&gt;Cuts!$C$16, D38&gt;Cuts!$C$16),1,0)</f>
        <v>0</v>
      </c>
      <c r="AA38" s="306">
        <f t="shared" si="2"/>
        <v>0</v>
      </c>
    </row>
    <row r="39" spans="1:27">
      <c r="A39" s="66">
        <v>28</v>
      </c>
      <c r="B39" s="80"/>
      <c r="C39" s="81">
        <v>204</v>
      </c>
      <c r="D39" s="77">
        <v>204</v>
      </c>
      <c r="E39" s="107">
        <v>0.38</v>
      </c>
      <c r="F39" s="108">
        <v>0.38</v>
      </c>
      <c r="G39" s="108">
        <v>0.39</v>
      </c>
      <c r="H39" s="108">
        <v>0.39</v>
      </c>
      <c r="I39" s="108">
        <v>0.39</v>
      </c>
      <c r="J39" s="108"/>
      <c r="K39" s="146">
        <v>26.24</v>
      </c>
      <c r="L39" s="144">
        <v>26.26</v>
      </c>
      <c r="M39" s="80" t="s">
        <v>89</v>
      </c>
      <c r="N39" s="80" t="s">
        <v>89</v>
      </c>
      <c r="O39" s="110" t="s">
        <v>89</v>
      </c>
      <c r="P39" s="75" t="s">
        <v>89</v>
      </c>
      <c r="Q39" s="106" t="s">
        <v>93</v>
      </c>
      <c r="R39" s="145">
        <v>28</v>
      </c>
      <c r="S39" s="64">
        <f t="shared" si="0"/>
        <v>13.546005621592331</v>
      </c>
      <c r="T39" s="57">
        <v>3</v>
      </c>
      <c r="U39" s="57"/>
      <c r="V39" s="57"/>
      <c r="W39" s="57">
        <f t="shared" si="3"/>
        <v>28</v>
      </c>
      <c r="X39" s="143">
        <f t="shared" si="1"/>
        <v>0</v>
      </c>
      <c r="Y39" s="143">
        <f>IF(OR(K39&gt;Cuts!$B$16, L39&gt;Cuts!B$16), 1,0)</f>
        <v>0</v>
      </c>
      <c r="Z39" s="246">
        <f>IF(OR(C39&gt;Cuts!$C$16, D39&gt;Cuts!$C$16),1,0)</f>
        <v>0</v>
      </c>
      <c r="AA39" s="306">
        <f t="shared" si="2"/>
        <v>0</v>
      </c>
    </row>
    <row r="40" spans="1:27">
      <c r="A40" s="66">
        <v>29</v>
      </c>
      <c r="B40" s="80"/>
      <c r="C40" s="81">
        <v>204</v>
      </c>
      <c r="D40" s="77">
        <v>204</v>
      </c>
      <c r="E40" s="107">
        <v>0.38</v>
      </c>
      <c r="F40" s="108">
        <v>0.38</v>
      </c>
      <c r="G40" s="108">
        <v>0.39</v>
      </c>
      <c r="H40" s="108">
        <v>0.38</v>
      </c>
      <c r="I40" s="108">
        <v>0.38</v>
      </c>
      <c r="J40" s="108"/>
      <c r="K40" s="146">
        <v>26.34</v>
      </c>
      <c r="L40" s="144">
        <v>26.1</v>
      </c>
      <c r="M40" s="80"/>
      <c r="N40" s="80" t="s">
        <v>89</v>
      </c>
      <c r="O40" s="110" t="s">
        <v>89</v>
      </c>
      <c r="P40" s="75" t="s">
        <v>89</v>
      </c>
      <c r="Q40" s="106" t="s">
        <v>93</v>
      </c>
      <c r="R40" s="145">
        <v>27.8</v>
      </c>
      <c r="S40" s="64">
        <f t="shared" si="0"/>
        <v>13.605627553795872</v>
      </c>
      <c r="T40" s="57">
        <v>3</v>
      </c>
      <c r="U40" s="57"/>
      <c r="V40" s="57"/>
      <c r="W40" s="57">
        <f t="shared" si="3"/>
        <v>29</v>
      </c>
      <c r="X40" s="143">
        <f t="shared" si="1"/>
        <v>0</v>
      </c>
      <c r="Y40" s="143">
        <f>IF(OR(K40&gt;Cuts!$B$16, L40&gt;Cuts!B$16), 1,0)</f>
        <v>0</v>
      </c>
      <c r="Z40" s="246">
        <f>IF(OR(C40&gt;Cuts!$C$16, D40&gt;Cuts!$C$16),1,0)</f>
        <v>0</v>
      </c>
      <c r="AA40" s="306">
        <f t="shared" si="2"/>
        <v>0</v>
      </c>
    </row>
    <row r="41" spans="1:27">
      <c r="A41" s="66">
        <v>30</v>
      </c>
      <c r="B41" s="80"/>
      <c r="C41" s="81">
        <v>204</v>
      </c>
      <c r="D41" s="77">
        <v>204</v>
      </c>
      <c r="E41" s="107">
        <v>0.38</v>
      </c>
      <c r="F41" s="108">
        <v>0.38</v>
      </c>
      <c r="G41" s="108">
        <v>0.38</v>
      </c>
      <c r="H41" s="108">
        <v>0.38</v>
      </c>
      <c r="I41" s="108">
        <v>0.38</v>
      </c>
      <c r="J41" s="108"/>
      <c r="K41" s="146">
        <v>25.96</v>
      </c>
      <c r="L41" s="144">
        <v>26.32</v>
      </c>
      <c r="M41" s="80" t="s">
        <v>89</v>
      </c>
      <c r="N41" s="80" t="s">
        <v>88</v>
      </c>
      <c r="O41" s="110" t="s">
        <v>89</v>
      </c>
      <c r="P41" s="75"/>
      <c r="Q41" s="106" t="s">
        <v>93</v>
      </c>
      <c r="R41" s="145">
        <v>27.5</v>
      </c>
      <c r="S41" s="64">
        <f t="shared" si="0"/>
        <v>13.571046749147047</v>
      </c>
      <c r="T41" s="57">
        <v>3</v>
      </c>
      <c r="U41" s="57"/>
      <c r="V41" s="57"/>
      <c r="W41" s="57">
        <f t="shared" si="3"/>
        <v>30</v>
      </c>
      <c r="X41" s="143">
        <f t="shared" si="1"/>
        <v>0</v>
      </c>
      <c r="Y41" s="143">
        <f>IF(OR(K41&gt;Cuts!$B$16, L41&gt;Cuts!B$16), 1,0)</f>
        <v>0</v>
      </c>
      <c r="Z41" s="246">
        <f>IF(OR(C41&gt;Cuts!$C$16, D41&gt;Cuts!$C$16),1,0)</f>
        <v>0</v>
      </c>
      <c r="AA41" s="306">
        <f t="shared" si="2"/>
        <v>1</v>
      </c>
    </row>
    <row r="42" spans="1:27">
      <c r="A42" s="66">
        <v>31</v>
      </c>
      <c r="B42" s="80"/>
      <c r="C42" s="81">
        <v>204</v>
      </c>
      <c r="D42" s="77">
        <v>204</v>
      </c>
      <c r="E42" s="107">
        <v>0.38</v>
      </c>
      <c r="F42" s="108">
        <v>0.38</v>
      </c>
      <c r="G42" s="108">
        <v>0.38</v>
      </c>
      <c r="H42" s="108">
        <v>0.38</v>
      </c>
      <c r="I42" s="108">
        <v>0.38</v>
      </c>
      <c r="J42" s="108"/>
      <c r="K42" s="146">
        <v>26.28</v>
      </c>
      <c r="L42" s="144">
        <v>26.31</v>
      </c>
      <c r="M42" s="80"/>
      <c r="N42" s="80"/>
      <c r="O42" s="110" t="s">
        <v>89</v>
      </c>
      <c r="P42" s="75"/>
      <c r="Q42" s="106" t="s">
        <v>94</v>
      </c>
      <c r="R42" s="145">
        <v>27.8</v>
      </c>
      <c r="S42" s="64">
        <f t="shared" si="0"/>
        <v>13.638225178282999</v>
      </c>
      <c r="T42" s="57">
        <v>3</v>
      </c>
      <c r="U42" s="57"/>
      <c r="V42" s="57"/>
      <c r="W42" s="57">
        <f t="shared" si="3"/>
        <v>31</v>
      </c>
      <c r="X42" s="143">
        <f t="shared" si="1"/>
        <v>0</v>
      </c>
      <c r="Y42" s="143">
        <f>IF(OR(K42&gt;Cuts!$B$16, L42&gt;Cuts!B$16), 1,0)</f>
        <v>0</v>
      </c>
      <c r="Z42" s="246">
        <f>IF(OR(C42&gt;Cuts!$C$16, D42&gt;Cuts!$C$16),1,0)</f>
        <v>0</v>
      </c>
      <c r="AA42" s="306">
        <f t="shared" si="2"/>
        <v>0</v>
      </c>
    </row>
    <row r="43" spans="1:27">
      <c r="A43" s="66">
        <v>32</v>
      </c>
      <c r="B43" s="80"/>
      <c r="C43" s="81">
        <v>204</v>
      </c>
      <c r="D43" s="77">
        <v>204</v>
      </c>
      <c r="E43" s="107">
        <v>0.38</v>
      </c>
      <c r="F43" s="108">
        <v>0.38</v>
      </c>
      <c r="G43" s="108">
        <v>0.37</v>
      </c>
      <c r="H43" s="108">
        <v>0.38</v>
      </c>
      <c r="I43" s="108">
        <v>0.38</v>
      </c>
      <c r="J43" s="108"/>
      <c r="K43" s="146">
        <v>26.32</v>
      </c>
      <c r="L43" s="144">
        <v>26.24</v>
      </c>
      <c r="M43" s="80" t="s">
        <v>89</v>
      </c>
      <c r="N43" s="80"/>
      <c r="O43" s="110" t="s">
        <v>89</v>
      </c>
      <c r="P43" s="75" t="s">
        <v>89</v>
      </c>
      <c r="Q43" s="106" t="s">
        <v>93</v>
      </c>
      <c r="R43" s="145">
        <v>28</v>
      </c>
      <c r="S43" s="64">
        <f t="shared" si="0"/>
        <v>13.816902825169755</v>
      </c>
      <c r="T43" s="57">
        <v>3</v>
      </c>
      <c r="U43" s="57"/>
      <c r="V43" s="57"/>
      <c r="W43" s="57">
        <f t="shared" si="3"/>
        <v>32</v>
      </c>
      <c r="X43" s="143">
        <f t="shared" si="1"/>
        <v>0</v>
      </c>
      <c r="Y43" s="143">
        <f>IF(OR(K43&gt;Cuts!$B$16, L43&gt;Cuts!B$16), 1,0)</f>
        <v>0</v>
      </c>
      <c r="Z43" s="246">
        <f>IF(OR(C43&gt;Cuts!$C$16, D43&gt;Cuts!$C$16),1,0)</f>
        <v>0</v>
      </c>
      <c r="AA43" s="306">
        <f t="shared" si="2"/>
        <v>0</v>
      </c>
    </row>
    <row r="44" spans="1:27">
      <c r="A44" s="66">
        <v>33</v>
      </c>
      <c r="B44" s="80"/>
      <c r="C44" s="81">
        <v>204</v>
      </c>
      <c r="D44" s="77">
        <v>204</v>
      </c>
      <c r="E44" s="107">
        <v>0.38</v>
      </c>
      <c r="F44" s="108">
        <v>0.38</v>
      </c>
      <c r="G44" s="108">
        <v>0.38</v>
      </c>
      <c r="H44" s="108">
        <v>0.38</v>
      </c>
      <c r="I44" s="108">
        <v>0.39</v>
      </c>
      <c r="J44" s="108"/>
      <c r="K44" s="146">
        <v>26.01</v>
      </c>
      <c r="L44" s="144">
        <v>26.21</v>
      </c>
      <c r="M44" s="80"/>
      <c r="N44" s="80"/>
      <c r="O44" s="110"/>
      <c r="P44" s="75" t="s">
        <v>88</v>
      </c>
      <c r="Q44" s="75"/>
      <c r="R44" s="145">
        <v>27.8</v>
      </c>
      <c r="S44" s="64">
        <f t="shared" ref="S44:S65" si="4">R44/(AVERAGE(C44:D44)*AVERAGE(E44:J44)*AVERAGE(K44:L44)*0.001)</f>
        <v>13.662947317523082</v>
      </c>
      <c r="T44" s="57">
        <v>3</v>
      </c>
      <c r="U44" s="57"/>
      <c r="V44" s="57"/>
      <c r="W44" s="57">
        <f t="shared" si="3"/>
        <v>33</v>
      </c>
      <c r="X44" s="143">
        <f t="shared" ref="X44:X65" si="5">IF(OR(ABS(E44-$C$6)&gt;($C$6*0.1),ABS(F44-$C$6)&gt;($C$6*0.1),ABS(G44-$C$6)&gt;($C$6*0.1),ABS(H44-$C$6)&gt;($C$6*0.1),ABS(I44-$C$6)&gt;($C$6*0.1)),1,0)</f>
        <v>0</v>
      </c>
      <c r="Y44" s="143">
        <f>IF(OR(K44&gt;Cuts!$B$16, L44&gt;Cuts!B$16), 1,0)</f>
        <v>0</v>
      </c>
      <c r="Z44" s="246">
        <f>IF(OR(C44&gt;Cuts!$C$16, D44&gt;Cuts!$C$16),1,0)</f>
        <v>0</v>
      </c>
      <c r="AA44" s="306">
        <f t="shared" ref="AA44:AA65" si="6">IF(OR(M44="Y",N44="Y",O44="Y",P44="Y"),1,0)</f>
        <v>1</v>
      </c>
    </row>
    <row r="45" spans="1:27">
      <c r="A45" s="66">
        <v>34</v>
      </c>
      <c r="B45" s="80"/>
      <c r="C45" s="81">
        <v>204</v>
      </c>
      <c r="D45" s="77">
        <v>204</v>
      </c>
      <c r="E45" s="107">
        <v>0.39</v>
      </c>
      <c r="F45" s="108">
        <v>0.39</v>
      </c>
      <c r="G45" s="108">
        <v>0.39</v>
      </c>
      <c r="H45" s="108">
        <v>0.39</v>
      </c>
      <c r="I45" s="108">
        <v>0.39</v>
      </c>
      <c r="J45" s="108"/>
      <c r="K45" s="146">
        <v>26.35</v>
      </c>
      <c r="L45" s="144">
        <v>26.24</v>
      </c>
      <c r="M45" s="80"/>
      <c r="N45" s="80" t="s">
        <v>89</v>
      </c>
      <c r="O45" s="110"/>
      <c r="P45" s="75" t="s">
        <v>89</v>
      </c>
      <c r="Q45" s="106" t="s">
        <v>94</v>
      </c>
      <c r="R45" s="145">
        <v>28.4</v>
      </c>
      <c r="S45" s="64">
        <f t="shared" si="4"/>
        <v>13.575329839884718</v>
      </c>
      <c r="T45" s="57">
        <v>3</v>
      </c>
      <c r="U45" s="57"/>
      <c r="V45" s="57"/>
      <c r="W45" s="57">
        <f t="shared" si="3"/>
        <v>34</v>
      </c>
      <c r="X45" s="143">
        <f t="shared" si="5"/>
        <v>0</v>
      </c>
      <c r="Y45" s="143">
        <f>IF(OR(K45&gt;Cuts!$B$16, L45&gt;Cuts!B$16), 1,0)</f>
        <v>0</v>
      </c>
      <c r="Z45" s="246">
        <f>IF(OR(C45&gt;Cuts!$C$16, D45&gt;Cuts!$C$16),1,0)</f>
        <v>0</v>
      </c>
      <c r="AA45" s="306">
        <f t="shared" si="6"/>
        <v>0</v>
      </c>
    </row>
    <row r="46" spans="1:27">
      <c r="A46" s="66">
        <v>35</v>
      </c>
      <c r="B46" s="80"/>
      <c r="C46" s="81">
        <v>204</v>
      </c>
      <c r="D46" s="77">
        <v>204</v>
      </c>
      <c r="E46" s="107">
        <v>0.39</v>
      </c>
      <c r="F46" s="108">
        <v>0.38</v>
      </c>
      <c r="G46" s="108">
        <v>0.38</v>
      </c>
      <c r="H46" s="108">
        <v>0.38</v>
      </c>
      <c r="I46" s="108">
        <v>0.39</v>
      </c>
      <c r="J46" s="108"/>
      <c r="K46" s="146">
        <v>26.33</v>
      </c>
      <c r="L46" s="144">
        <v>26.27</v>
      </c>
      <c r="M46" s="80" t="s">
        <v>89</v>
      </c>
      <c r="N46" s="80" t="s">
        <v>89</v>
      </c>
      <c r="O46" s="110" t="s">
        <v>89</v>
      </c>
      <c r="P46" s="75"/>
      <c r="Q46" s="106" t="s">
        <v>94</v>
      </c>
      <c r="R46" s="145">
        <v>27.9</v>
      </c>
      <c r="S46" s="64">
        <f t="shared" si="4"/>
        <v>13.542132632520691</v>
      </c>
      <c r="T46" s="57">
        <v>3</v>
      </c>
      <c r="U46" s="57"/>
      <c r="V46" s="57"/>
      <c r="W46" s="57">
        <f t="shared" si="3"/>
        <v>35</v>
      </c>
      <c r="X46" s="143">
        <f t="shared" si="5"/>
        <v>0</v>
      </c>
      <c r="Y46" s="143">
        <f>IF(OR(K46&gt;Cuts!$B$16, L46&gt;Cuts!B$16), 1,0)</f>
        <v>0</v>
      </c>
      <c r="Z46" s="246">
        <f>IF(OR(C46&gt;Cuts!$C$16, D46&gt;Cuts!$C$16),1,0)</f>
        <v>0</v>
      </c>
      <c r="AA46" s="306">
        <f t="shared" si="6"/>
        <v>0</v>
      </c>
    </row>
    <row r="47" spans="1:27">
      <c r="A47" s="66">
        <v>36</v>
      </c>
      <c r="B47" s="80"/>
      <c r="C47" s="81">
        <v>204</v>
      </c>
      <c r="D47" s="77">
        <v>204</v>
      </c>
      <c r="E47" s="107">
        <v>0.38</v>
      </c>
      <c r="F47" s="108">
        <v>0.38</v>
      </c>
      <c r="G47" s="108">
        <v>0.38</v>
      </c>
      <c r="H47" s="108">
        <v>0.38</v>
      </c>
      <c r="I47" s="108">
        <v>0.38</v>
      </c>
      <c r="J47" s="108"/>
      <c r="K47" s="146">
        <v>26.27</v>
      </c>
      <c r="L47" s="144">
        <v>26.13</v>
      </c>
      <c r="M47" s="80" t="s">
        <v>89</v>
      </c>
      <c r="N47" s="80" t="s">
        <v>89</v>
      </c>
      <c r="O47" s="110" t="s">
        <v>89</v>
      </c>
      <c r="P47" s="75" t="s">
        <v>89</v>
      </c>
      <c r="Q47" s="106" t="s">
        <v>93</v>
      </c>
      <c r="R47" s="145">
        <v>27.7</v>
      </c>
      <c r="S47" s="64">
        <f t="shared" si="4"/>
        <v>13.638440510796524</v>
      </c>
      <c r="T47" s="57">
        <v>3</v>
      </c>
      <c r="U47" s="57"/>
      <c r="V47" s="57"/>
      <c r="W47" s="57">
        <f t="shared" si="3"/>
        <v>36</v>
      </c>
      <c r="X47" s="143">
        <f t="shared" si="5"/>
        <v>0</v>
      </c>
      <c r="Y47" s="143">
        <f>IF(OR(K47&gt;Cuts!$B$16, L47&gt;Cuts!B$16), 1,0)</f>
        <v>0</v>
      </c>
      <c r="Z47" s="246">
        <f>IF(OR(C47&gt;Cuts!$C$16, D47&gt;Cuts!$C$16),1,0)</f>
        <v>0</v>
      </c>
      <c r="AA47" s="306">
        <f t="shared" si="6"/>
        <v>0</v>
      </c>
    </row>
    <row r="48" spans="1:27">
      <c r="A48" s="66">
        <v>37</v>
      </c>
      <c r="B48" s="80"/>
      <c r="C48" s="81">
        <v>204</v>
      </c>
      <c r="D48" s="77">
        <v>204</v>
      </c>
      <c r="E48" s="107">
        <v>0.39</v>
      </c>
      <c r="F48" s="108">
        <v>0.39</v>
      </c>
      <c r="G48" s="108">
        <v>0.39</v>
      </c>
      <c r="H48" s="108">
        <v>0.39</v>
      </c>
      <c r="I48" s="108">
        <v>0.39</v>
      </c>
      <c r="J48" s="108"/>
      <c r="K48" s="146">
        <v>26.19</v>
      </c>
      <c r="L48" s="144">
        <v>26.28</v>
      </c>
      <c r="M48" s="80" t="s">
        <v>89</v>
      </c>
      <c r="N48" s="80" t="s">
        <v>89</v>
      </c>
      <c r="O48" s="110" t="s">
        <v>89</v>
      </c>
      <c r="P48" s="75" t="s">
        <v>89</v>
      </c>
      <c r="Q48" s="106" t="s">
        <v>93</v>
      </c>
      <c r="R48" s="145">
        <v>28.2</v>
      </c>
      <c r="S48" s="64">
        <f t="shared" si="4"/>
        <v>13.510557350734929</v>
      </c>
      <c r="T48" s="57">
        <v>3</v>
      </c>
      <c r="U48" s="57"/>
      <c r="V48" s="57"/>
      <c r="W48" s="57">
        <f t="shared" si="3"/>
        <v>37</v>
      </c>
      <c r="X48" s="143">
        <f t="shared" si="5"/>
        <v>0</v>
      </c>
      <c r="Y48" s="143">
        <f>IF(OR(K48&gt;Cuts!$B$16, L48&gt;Cuts!B$16), 1,0)</f>
        <v>0</v>
      </c>
      <c r="Z48" s="246">
        <f>IF(OR(C48&gt;Cuts!$C$16, D48&gt;Cuts!$C$16),1,0)</f>
        <v>0</v>
      </c>
      <c r="AA48" s="306">
        <f t="shared" si="6"/>
        <v>0</v>
      </c>
    </row>
    <row r="49" spans="1:28">
      <c r="A49" s="171">
        <v>38</v>
      </c>
      <c r="B49" s="80"/>
      <c r="C49" s="81">
        <v>204</v>
      </c>
      <c r="D49" s="77">
        <v>204</v>
      </c>
      <c r="E49" s="107">
        <v>0.39</v>
      </c>
      <c r="F49" s="108">
        <v>0.39</v>
      </c>
      <c r="G49" s="108">
        <v>0.39</v>
      </c>
      <c r="H49" s="108">
        <v>0.39</v>
      </c>
      <c r="I49" s="108">
        <v>0.39</v>
      </c>
      <c r="J49" s="108"/>
      <c r="K49" s="146">
        <v>26.17</v>
      </c>
      <c r="L49" s="144">
        <v>26.09</v>
      </c>
      <c r="M49" s="80"/>
      <c r="N49" s="80"/>
      <c r="O49" s="110" t="s">
        <v>88</v>
      </c>
      <c r="P49" s="75" t="s">
        <v>88</v>
      </c>
      <c r="Q49" s="75"/>
      <c r="R49" s="145">
        <v>28.1</v>
      </c>
      <c r="S49" s="64">
        <f t="shared" si="4"/>
        <v>13.516745467849674</v>
      </c>
      <c r="T49" s="57">
        <v>3</v>
      </c>
      <c r="U49" s="57"/>
      <c r="V49" s="57"/>
      <c r="W49" s="47">
        <f t="shared" si="3"/>
        <v>38</v>
      </c>
      <c r="X49" s="143">
        <f t="shared" si="5"/>
        <v>0</v>
      </c>
      <c r="Y49" s="143">
        <f>IF(OR(K49&gt;Cuts!$B$16, L49&gt;Cuts!B$16), 1,0)</f>
        <v>0</v>
      </c>
      <c r="Z49" s="246">
        <f>IF(OR(C49&gt;Cuts!$C$16, D49&gt;Cuts!$C$16),1,0)</f>
        <v>0</v>
      </c>
      <c r="AA49" s="306">
        <f t="shared" si="6"/>
        <v>1</v>
      </c>
      <c r="AB49" t="s">
        <v>629</v>
      </c>
    </row>
    <row r="50" spans="1:28">
      <c r="A50" s="66">
        <v>39</v>
      </c>
      <c r="B50" s="80"/>
      <c r="C50" s="81">
        <v>204</v>
      </c>
      <c r="D50" s="77">
        <v>204</v>
      </c>
      <c r="E50" s="107">
        <v>0.38</v>
      </c>
      <c r="F50" s="108">
        <v>0.39</v>
      </c>
      <c r="G50" s="108">
        <v>0.39</v>
      </c>
      <c r="H50" s="108">
        <v>0.39</v>
      </c>
      <c r="I50" s="108">
        <v>0.39</v>
      </c>
      <c r="J50" s="108"/>
      <c r="K50" s="146">
        <v>26.4</v>
      </c>
      <c r="L50" s="144">
        <v>26.31</v>
      </c>
      <c r="M50" s="80" t="s">
        <v>89</v>
      </c>
      <c r="N50" s="80" t="s">
        <v>89</v>
      </c>
      <c r="O50" s="110" t="s">
        <v>89</v>
      </c>
      <c r="P50" s="75" t="s">
        <v>89</v>
      </c>
      <c r="Q50" s="75"/>
      <c r="R50" s="145">
        <v>28.1</v>
      </c>
      <c r="S50" s="64">
        <f t="shared" si="4"/>
        <v>13.470428354252668</v>
      </c>
      <c r="T50" s="57">
        <v>3</v>
      </c>
      <c r="U50" s="57"/>
      <c r="V50" s="57"/>
      <c r="W50" s="57">
        <f t="shared" si="3"/>
        <v>39</v>
      </c>
      <c r="X50" s="143">
        <f t="shared" si="5"/>
        <v>0</v>
      </c>
      <c r="Y50" s="143">
        <f>IF(OR(K50&gt;Cuts!$B$16, L50&gt;Cuts!B$16), 1,0)</f>
        <v>0</v>
      </c>
      <c r="Z50" s="246">
        <f>IF(OR(C50&gt;Cuts!$C$16, D50&gt;Cuts!$C$16),1,0)</f>
        <v>0</v>
      </c>
      <c r="AA50" s="306">
        <f t="shared" si="6"/>
        <v>0</v>
      </c>
    </row>
    <row r="51" spans="1:28">
      <c r="A51" s="66">
        <v>40</v>
      </c>
      <c r="B51" s="80"/>
      <c r="C51" s="81">
        <v>204</v>
      </c>
      <c r="D51" s="77">
        <v>204</v>
      </c>
      <c r="E51" s="107">
        <v>0.39</v>
      </c>
      <c r="F51" s="108">
        <v>0.39</v>
      </c>
      <c r="G51" s="108">
        <v>0.39</v>
      </c>
      <c r="H51" s="108">
        <v>0.39</v>
      </c>
      <c r="I51" s="108">
        <v>0.38</v>
      </c>
      <c r="J51" s="108"/>
      <c r="K51" s="146">
        <v>26.28</v>
      </c>
      <c r="L51" s="144">
        <v>26.3</v>
      </c>
      <c r="M51" s="80"/>
      <c r="N51" s="80" t="s">
        <v>89</v>
      </c>
      <c r="O51" s="110"/>
      <c r="P51" s="75" t="s">
        <v>89</v>
      </c>
      <c r="Q51" s="75"/>
      <c r="R51" s="145">
        <v>28</v>
      </c>
      <c r="S51" s="64">
        <f t="shared" si="4"/>
        <v>13.455676961643556</v>
      </c>
      <c r="T51" s="57">
        <v>3</v>
      </c>
      <c r="U51" s="57"/>
      <c r="V51" s="57"/>
      <c r="W51" s="57">
        <f t="shared" si="3"/>
        <v>40</v>
      </c>
      <c r="X51" s="143">
        <f t="shared" si="5"/>
        <v>0</v>
      </c>
      <c r="Y51" s="143">
        <f>IF(OR(K51&gt;Cuts!$B$16, L51&gt;Cuts!B$16), 1,0)</f>
        <v>0</v>
      </c>
      <c r="Z51" s="246">
        <f>IF(OR(C51&gt;Cuts!$C$16, D51&gt;Cuts!$C$16),1,0)</f>
        <v>0</v>
      </c>
      <c r="AA51" s="306">
        <f t="shared" si="6"/>
        <v>0</v>
      </c>
    </row>
    <row r="52" spans="1:28">
      <c r="A52" s="66">
        <v>41</v>
      </c>
      <c r="B52" s="80"/>
      <c r="C52" s="81">
        <v>204</v>
      </c>
      <c r="D52" s="77">
        <v>204</v>
      </c>
      <c r="E52" s="107">
        <v>0.39</v>
      </c>
      <c r="F52" s="108">
        <v>0.39</v>
      </c>
      <c r="G52" s="108">
        <v>0.39</v>
      </c>
      <c r="H52" s="108">
        <v>0.39</v>
      </c>
      <c r="I52" s="108">
        <v>0.39</v>
      </c>
      <c r="J52" s="108"/>
      <c r="K52" s="146">
        <v>26.1</v>
      </c>
      <c r="L52" s="144">
        <v>26.37</v>
      </c>
      <c r="M52" s="80"/>
      <c r="N52" s="80"/>
      <c r="O52" s="110" t="s">
        <v>89</v>
      </c>
      <c r="P52" s="75" t="s">
        <v>89</v>
      </c>
      <c r="Q52" s="106" t="s">
        <v>93</v>
      </c>
      <c r="R52" s="145">
        <v>28</v>
      </c>
      <c r="S52" s="64">
        <f t="shared" si="4"/>
        <v>13.414737795055958</v>
      </c>
      <c r="T52" s="57">
        <v>3</v>
      </c>
      <c r="U52" s="57"/>
      <c r="V52" s="57"/>
      <c r="W52" s="57">
        <f t="shared" si="3"/>
        <v>41</v>
      </c>
      <c r="X52" s="143">
        <f t="shared" si="5"/>
        <v>0</v>
      </c>
      <c r="Y52" s="143">
        <f>IF(OR(K52&gt;Cuts!$B$16, L52&gt;Cuts!B$16), 1,0)</f>
        <v>0</v>
      </c>
      <c r="Z52" s="246">
        <f>IF(OR(C52&gt;Cuts!$C$16, D52&gt;Cuts!$C$16),1,0)</f>
        <v>0</v>
      </c>
      <c r="AA52" s="306">
        <f t="shared" si="6"/>
        <v>0</v>
      </c>
    </row>
    <row r="53" spans="1:28">
      <c r="A53" s="66">
        <v>42</v>
      </c>
      <c r="B53" s="80"/>
      <c r="C53" s="81">
        <v>204</v>
      </c>
      <c r="D53" s="77">
        <v>204</v>
      </c>
      <c r="E53" s="107">
        <v>0.38</v>
      </c>
      <c r="F53" s="108">
        <v>0.38</v>
      </c>
      <c r="G53" s="108">
        <v>0.38</v>
      </c>
      <c r="H53" s="108">
        <v>0.38</v>
      </c>
      <c r="I53" s="108">
        <v>0.38</v>
      </c>
      <c r="J53" s="108"/>
      <c r="K53" s="146">
        <v>26.41</v>
      </c>
      <c r="L53" s="144">
        <v>26.34</v>
      </c>
      <c r="M53" s="80" t="s">
        <v>89</v>
      </c>
      <c r="N53" s="80"/>
      <c r="O53" s="110"/>
      <c r="P53" s="75"/>
      <c r="Q53" s="75"/>
      <c r="R53" s="145">
        <v>27.8</v>
      </c>
      <c r="S53" s="64">
        <f t="shared" si="4"/>
        <v>13.596858049780153</v>
      </c>
      <c r="T53" s="57">
        <v>3</v>
      </c>
      <c r="U53" s="57"/>
      <c r="V53" s="57"/>
      <c r="W53" s="57">
        <f t="shared" si="3"/>
        <v>42</v>
      </c>
      <c r="X53" s="143">
        <f t="shared" si="5"/>
        <v>0</v>
      </c>
      <c r="Y53" s="143">
        <f>IF(OR(K53&gt;Cuts!$B$16, L53&gt;Cuts!B$16), 1,0)</f>
        <v>0</v>
      </c>
      <c r="Z53" s="246">
        <f>IF(OR(C53&gt;Cuts!$C$16, D53&gt;Cuts!$C$16),1,0)</f>
        <v>0</v>
      </c>
      <c r="AA53" s="306">
        <f t="shared" si="6"/>
        <v>0</v>
      </c>
    </row>
    <row r="54" spans="1:28">
      <c r="A54" s="66">
        <v>43</v>
      </c>
      <c r="B54" s="80"/>
      <c r="C54" s="81">
        <v>204</v>
      </c>
      <c r="D54" s="77">
        <v>204</v>
      </c>
      <c r="E54" s="107">
        <v>0.38</v>
      </c>
      <c r="F54" s="108">
        <v>0.38</v>
      </c>
      <c r="G54" s="108">
        <v>0.39</v>
      </c>
      <c r="H54" s="108">
        <v>0.39</v>
      </c>
      <c r="I54" s="108">
        <v>0.39</v>
      </c>
      <c r="J54" s="108"/>
      <c r="K54" s="146">
        <v>26.31</v>
      </c>
      <c r="L54" s="144">
        <v>26.21</v>
      </c>
      <c r="M54" s="80" t="s">
        <v>89</v>
      </c>
      <c r="N54" s="80"/>
      <c r="O54" s="110" t="s">
        <v>89</v>
      </c>
      <c r="P54" s="75"/>
      <c r="Q54" s="106" t="s">
        <v>94</v>
      </c>
      <c r="R54" s="145">
        <v>28.4</v>
      </c>
      <c r="S54" s="64">
        <f t="shared" si="4"/>
        <v>13.734287877947292</v>
      </c>
      <c r="T54" s="57">
        <v>3</v>
      </c>
      <c r="U54" s="57"/>
      <c r="V54" s="57"/>
      <c r="W54" s="57">
        <f t="shared" si="3"/>
        <v>43</v>
      </c>
      <c r="X54" s="143">
        <f t="shared" si="5"/>
        <v>0</v>
      </c>
      <c r="Y54" s="143">
        <f>IF(OR(K54&gt;Cuts!$B$16, L54&gt;Cuts!B$16), 1,0)</f>
        <v>0</v>
      </c>
      <c r="Z54" s="246">
        <f>IF(OR(C54&gt;Cuts!$C$16, D54&gt;Cuts!$C$16),1,0)</f>
        <v>0</v>
      </c>
      <c r="AA54" s="306">
        <f t="shared" si="6"/>
        <v>0</v>
      </c>
    </row>
    <row r="55" spans="1:28">
      <c r="A55" s="66">
        <v>44</v>
      </c>
      <c r="B55" s="80"/>
      <c r="C55" s="81">
        <v>204</v>
      </c>
      <c r="D55" s="77">
        <v>204</v>
      </c>
      <c r="E55" s="107">
        <v>0.39</v>
      </c>
      <c r="F55" s="108">
        <v>0.4</v>
      </c>
      <c r="G55" s="108">
        <v>0.4</v>
      </c>
      <c r="H55" s="108">
        <v>0.39</v>
      </c>
      <c r="I55" s="108">
        <v>0.39</v>
      </c>
      <c r="J55" s="108"/>
      <c r="K55" s="146">
        <v>26.27</v>
      </c>
      <c r="L55" s="144">
        <v>26.29</v>
      </c>
      <c r="M55" s="80"/>
      <c r="N55" s="80"/>
      <c r="O55" s="110" t="s">
        <v>89</v>
      </c>
      <c r="P55" s="75" t="s">
        <v>89</v>
      </c>
      <c r="Q55" s="75"/>
      <c r="R55" s="145">
        <v>28.8</v>
      </c>
      <c r="S55" s="64">
        <f t="shared" si="4"/>
        <v>13.634547762502537</v>
      </c>
      <c r="T55" s="57">
        <v>3</v>
      </c>
      <c r="U55" s="57"/>
      <c r="V55" s="57"/>
      <c r="W55" s="57">
        <f t="shared" si="3"/>
        <v>44</v>
      </c>
      <c r="X55" s="143">
        <f t="shared" si="5"/>
        <v>0</v>
      </c>
      <c r="Y55" s="143">
        <f>IF(OR(K55&gt;Cuts!$B$16, L55&gt;Cuts!B$16), 1,0)</f>
        <v>0</v>
      </c>
      <c r="Z55" s="246">
        <f>IF(OR(C55&gt;Cuts!$C$16, D55&gt;Cuts!$C$16),1,0)</f>
        <v>0</v>
      </c>
      <c r="AA55" s="306">
        <f t="shared" si="6"/>
        <v>0</v>
      </c>
    </row>
    <row r="56" spans="1:28">
      <c r="A56" s="66">
        <v>45</v>
      </c>
      <c r="B56" s="80"/>
      <c r="C56" s="81">
        <v>204</v>
      </c>
      <c r="D56" s="77">
        <v>204</v>
      </c>
      <c r="E56" s="107">
        <v>0.38</v>
      </c>
      <c r="F56" s="108">
        <v>0.39</v>
      </c>
      <c r="G56" s="108">
        <v>0.39</v>
      </c>
      <c r="H56" s="108">
        <v>0.38</v>
      </c>
      <c r="I56" s="108">
        <v>0.38</v>
      </c>
      <c r="J56" s="108"/>
      <c r="K56" s="146">
        <v>26.12</v>
      </c>
      <c r="L56" s="144">
        <v>26.22</v>
      </c>
      <c r="M56" s="80"/>
      <c r="N56" s="80" t="s">
        <v>89</v>
      </c>
      <c r="O56" s="110"/>
      <c r="P56" s="75"/>
      <c r="Q56" s="75" t="s">
        <v>92</v>
      </c>
      <c r="R56" s="145">
        <v>27.7</v>
      </c>
      <c r="S56" s="64">
        <f t="shared" si="4"/>
        <v>13.51184500038711</v>
      </c>
      <c r="T56" s="57">
        <v>3</v>
      </c>
      <c r="U56" s="57"/>
      <c r="V56" s="57"/>
      <c r="W56" s="57">
        <f t="shared" si="3"/>
        <v>45</v>
      </c>
      <c r="X56" s="143">
        <f t="shared" si="5"/>
        <v>0</v>
      </c>
      <c r="Y56" s="143">
        <f>IF(OR(K56&gt;Cuts!$B$16, L56&gt;Cuts!B$16), 1,0)</f>
        <v>0</v>
      </c>
      <c r="Z56" s="246">
        <f>IF(OR(C56&gt;Cuts!$C$16, D56&gt;Cuts!$C$16),1,0)</f>
        <v>0</v>
      </c>
      <c r="AA56" s="306">
        <f t="shared" si="6"/>
        <v>0</v>
      </c>
    </row>
    <row r="57" spans="1:28">
      <c r="A57" s="66">
        <v>46</v>
      </c>
      <c r="B57" s="80"/>
      <c r="C57" s="81">
        <v>204</v>
      </c>
      <c r="D57" s="77">
        <v>204</v>
      </c>
      <c r="E57" s="107">
        <v>0.38</v>
      </c>
      <c r="F57" s="108">
        <v>0.39</v>
      </c>
      <c r="G57" s="108">
        <v>0.39</v>
      </c>
      <c r="H57" s="108">
        <v>0.39</v>
      </c>
      <c r="I57" s="108">
        <v>0.39</v>
      </c>
      <c r="J57" s="108"/>
      <c r="K57" s="146">
        <v>26.33</v>
      </c>
      <c r="L57" s="144">
        <v>26.3</v>
      </c>
      <c r="M57" s="80" t="s">
        <v>89</v>
      </c>
      <c r="N57" s="80"/>
      <c r="O57" s="110" t="s">
        <v>89</v>
      </c>
      <c r="P57" s="75"/>
      <c r="Q57" s="75"/>
      <c r="R57" s="145">
        <v>28.3</v>
      </c>
      <c r="S57" s="64">
        <f t="shared" si="4"/>
        <v>13.586924688799893</v>
      </c>
      <c r="T57" s="57">
        <v>3</v>
      </c>
      <c r="U57" s="57"/>
      <c r="V57" s="57"/>
      <c r="W57" s="57">
        <f t="shared" si="3"/>
        <v>46</v>
      </c>
      <c r="X57" s="143">
        <f t="shared" si="5"/>
        <v>0</v>
      </c>
      <c r="Y57" s="143">
        <f>IF(OR(K57&gt;Cuts!$B$16, L57&gt;Cuts!B$16), 1,0)</f>
        <v>0</v>
      </c>
      <c r="Z57" s="246">
        <f>IF(OR(C57&gt;Cuts!$C$16, D57&gt;Cuts!$C$16),1,0)</f>
        <v>0</v>
      </c>
      <c r="AA57" s="306">
        <f t="shared" si="6"/>
        <v>0</v>
      </c>
    </row>
    <row r="58" spans="1:28">
      <c r="A58" s="66">
        <v>47</v>
      </c>
      <c r="B58" s="80"/>
      <c r="C58" s="81">
        <v>204</v>
      </c>
      <c r="D58" s="77">
        <v>204</v>
      </c>
      <c r="E58" s="107">
        <v>0.39</v>
      </c>
      <c r="F58" s="108">
        <v>0.39</v>
      </c>
      <c r="G58" s="108">
        <v>0.39</v>
      </c>
      <c r="H58" s="108">
        <v>0.39</v>
      </c>
      <c r="I58" s="108">
        <v>0.39</v>
      </c>
      <c r="J58" s="108"/>
      <c r="K58" s="146">
        <v>26.1</v>
      </c>
      <c r="L58" s="144">
        <v>26.31</v>
      </c>
      <c r="M58" s="80"/>
      <c r="N58" s="80" t="s">
        <v>89</v>
      </c>
      <c r="O58" s="110"/>
      <c r="P58" s="75"/>
      <c r="Q58" s="106" t="s">
        <v>94</v>
      </c>
      <c r="R58" s="145">
        <v>28.3</v>
      </c>
      <c r="S58" s="64">
        <f t="shared" si="4"/>
        <v>13.573989128721612</v>
      </c>
      <c r="T58" s="57">
        <v>3</v>
      </c>
      <c r="U58" s="57"/>
      <c r="V58" s="57"/>
      <c r="W58" s="57">
        <f t="shared" si="3"/>
        <v>47</v>
      </c>
      <c r="X58" s="143">
        <f t="shared" si="5"/>
        <v>0</v>
      </c>
      <c r="Y58" s="143">
        <f>IF(OR(K58&gt;Cuts!$B$16, L58&gt;Cuts!B$16), 1,0)</f>
        <v>0</v>
      </c>
      <c r="Z58" s="246">
        <f>IF(OR(C58&gt;Cuts!$C$16, D58&gt;Cuts!$C$16),1,0)</f>
        <v>0</v>
      </c>
      <c r="AA58" s="306">
        <f t="shared" si="6"/>
        <v>0</v>
      </c>
    </row>
    <row r="59" spans="1:28">
      <c r="A59" s="66">
        <v>48</v>
      </c>
      <c r="B59" s="80"/>
      <c r="C59" s="81">
        <v>204</v>
      </c>
      <c r="D59" s="77">
        <v>204</v>
      </c>
      <c r="E59" s="107">
        <v>0.38</v>
      </c>
      <c r="F59" s="108">
        <v>0.39</v>
      </c>
      <c r="G59" s="108">
        <v>0.39</v>
      </c>
      <c r="H59" s="108">
        <v>0.39</v>
      </c>
      <c r="I59" s="108">
        <v>0.39</v>
      </c>
      <c r="J59" s="108"/>
      <c r="K59" s="146">
        <v>26.25</v>
      </c>
      <c r="L59" s="144">
        <v>26.2</v>
      </c>
      <c r="M59" s="80"/>
      <c r="N59" s="80"/>
      <c r="O59" s="110"/>
      <c r="P59" s="75" t="s">
        <v>89</v>
      </c>
      <c r="Q59" s="75"/>
      <c r="R59" s="145">
        <v>28.1</v>
      </c>
      <c r="S59" s="64">
        <f t="shared" si="4"/>
        <v>13.537202641614071</v>
      </c>
      <c r="T59" s="57">
        <v>3</v>
      </c>
      <c r="U59" s="57"/>
      <c r="V59" s="57"/>
      <c r="W59" s="57">
        <f t="shared" si="3"/>
        <v>48</v>
      </c>
      <c r="X59" s="143">
        <f t="shared" si="5"/>
        <v>0</v>
      </c>
      <c r="Y59" s="143">
        <f>IF(OR(K59&gt;Cuts!$B$16, L59&gt;Cuts!B$16), 1,0)</f>
        <v>0</v>
      </c>
      <c r="Z59" s="246">
        <f>IF(OR(C59&gt;Cuts!$C$16, D59&gt;Cuts!$C$16),1,0)</f>
        <v>0</v>
      </c>
      <c r="AA59" s="306">
        <f t="shared" si="6"/>
        <v>0</v>
      </c>
    </row>
    <row r="60" spans="1:28">
      <c r="A60" s="66">
        <v>49</v>
      </c>
      <c r="B60" s="80"/>
      <c r="C60" s="81">
        <v>204</v>
      </c>
      <c r="D60" s="77">
        <v>204</v>
      </c>
      <c r="E60" s="107">
        <v>0.39</v>
      </c>
      <c r="F60" s="108">
        <v>0.39</v>
      </c>
      <c r="G60" s="108">
        <v>0.39</v>
      </c>
      <c r="H60" s="108">
        <v>0.39</v>
      </c>
      <c r="I60" s="108">
        <v>0.39</v>
      </c>
      <c r="J60" s="108"/>
      <c r="K60" s="146">
        <v>26.3</v>
      </c>
      <c r="L60" s="144">
        <v>26.31</v>
      </c>
      <c r="M60" s="80"/>
      <c r="N60" s="80" t="s">
        <v>88</v>
      </c>
      <c r="O60" s="110"/>
      <c r="P60" s="75" t="s">
        <v>89</v>
      </c>
      <c r="Q60" s="106" t="s">
        <v>93</v>
      </c>
      <c r="R60" s="145">
        <v>28.2</v>
      </c>
      <c r="S60" s="64">
        <f t="shared" si="4"/>
        <v>13.474604527524461</v>
      </c>
      <c r="T60" s="57">
        <v>3</v>
      </c>
      <c r="U60" s="57"/>
      <c r="V60" s="57"/>
      <c r="W60" s="57">
        <f t="shared" si="3"/>
        <v>49</v>
      </c>
      <c r="X60" s="143">
        <f t="shared" si="5"/>
        <v>0</v>
      </c>
      <c r="Y60" s="143">
        <f>IF(OR(K60&gt;Cuts!$B$16, L60&gt;Cuts!B$16), 1,0)</f>
        <v>0</v>
      </c>
      <c r="Z60" s="246">
        <f>IF(OR(C60&gt;Cuts!$C$16, D60&gt;Cuts!$C$16),1,0)</f>
        <v>0</v>
      </c>
      <c r="AA60" s="306">
        <f t="shared" si="6"/>
        <v>1</v>
      </c>
    </row>
    <row r="61" spans="1:28">
      <c r="A61" s="66">
        <v>50</v>
      </c>
      <c r="B61" s="80"/>
      <c r="C61" s="81">
        <v>204</v>
      </c>
      <c r="D61" s="77">
        <v>204</v>
      </c>
      <c r="E61" s="107">
        <v>0.38</v>
      </c>
      <c r="F61" s="108">
        <v>0.38</v>
      </c>
      <c r="G61" s="108">
        <v>0.38</v>
      </c>
      <c r="H61" s="108">
        <v>0.38</v>
      </c>
      <c r="I61" s="108">
        <v>0.38</v>
      </c>
      <c r="J61" s="108"/>
      <c r="K61" s="146">
        <v>26.3</v>
      </c>
      <c r="L61" s="144">
        <v>26.27</v>
      </c>
      <c r="M61" s="80" t="s">
        <v>88</v>
      </c>
      <c r="N61" s="80"/>
      <c r="O61" s="110" t="s">
        <v>89</v>
      </c>
      <c r="P61" s="75"/>
      <c r="Q61" s="106" t="s">
        <v>94</v>
      </c>
      <c r="R61" s="145">
        <v>27.6</v>
      </c>
      <c r="S61" s="64">
        <f t="shared" si="4"/>
        <v>13.545259718576618</v>
      </c>
      <c r="T61" s="57">
        <v>3</v>
      </c>
      <c r="U61" s="57"/>
      <c r="V61" s="57"/>
      <c r="W61" s="57">
        <f t="shared" si="3"/>
        <v>50</v>
      </c>
      <c r="X61" s="143">
        <f t="shared" si="5"/>
        <v>0</v>
      </c>
      <c r="Y61" s="143">
        <f>IF(OR(K61&gt;Cuts!$B$16, L61&gt;Cuts!B$16), 1,0)</f>
        <v>0</v>
      </c>
      <c r="Z61" s="246">
        <f>IF(OR(C61&gt;Cuts!$C$16, D61&gt;Cuts!$C$16),1,0)</f>
        <v>0</v>
      </c>
      <c r="AA61" s="306">
        <f t="shared" si="6"/>
        <v>1</v>
      </c>
    </row>
    <row r="62" spans="1:28">
      <c r="A62" s="66">
        <v>51</v>
      </c>
      <c r="B62" s="80"/>
      <c r="C62" s="81">
        <v>204</v>
      </c>
      <c r="D62" s="77">
        <v>204</v>
      </c>
      <c r="E62" s="107">
        <v>0.38</v>
      </c>
      <c r="F62" s="108">
        <v>0.38</v>
      </c>
      <c r="G62" s="108">
        <v>0.38</v>
      </c>
      <c r="H62" s="108">
        <v>0.38</v>
      </c>
      <c r="I62" s="108">
        <v>0.38</v>
      </c>
      <c r="J62" s="108"/>
      <c r="K62" s="146">
        <v>26.35</v>
      </c>
      <c r="L62" s="144">
        <v>26.12</v>
      </c>
      <c r="M62" s="80"/>
      <c r="N62" s="80"/>
      <c r="O62" s="110" t="s">
        <v>88</v>
      </c>
      <c r="P62" s="75" t="s">
        <v>89</v>
      </c>
      <c r="Q62" s="75"/>
      <c r="R62" s="145">
        <v>27.8</v>
      </c>
      <c r="S62" s="64">
        <f t="shared" si="4"/>
        <v>13.669416087781647</v>
      </c>
      <c r="T62" s="57">
        <v>3</v>
      </c>
      <c r="U62" s="57"/>
      <c r="V62" s="57"/>
      <c r="W62" s="57">
        <f t="shared" si="3"/>
        <v>51</v>
      </c>
      <c r="X62" s="143">
        <f t="shared" si="5"/>
        <v>0</v>
      </c>
      <c r="Y62" s="143">
        <f>IF(OR(K62&gt;Cuts!$B$16, L62&gt;Cuts!B$16), 1,0)</f>
        <v>0</v>
      </c>
      <c r="Z62" s="246">
        <f>IF(OR(C62&gt;Cuts!$C$16, D62&gt;Cuts!$C$16),1,0)</f>
        <v>0</v>
      </c>
      <c r="AA62" s="306">
        <f t="shared" si="6"/>
        <v>1</v>
      </c>
    </row>
    <row r="63" spans="1:28">
      <c r="A63" s="66">
        <v>52</v>
      </c>
      <c r="B63" s="80"/>
      <c r="C63" s="81">
        <v>204</v>
      </c>
      <c r="D63" s="77">
        <v>204</v>
      </c>
      <c r="E63" s="107">
        <v>0.39</v>
      </c>
      <c r="F63" s="108">
        <v>0.39</v>
      </c>
      <c r="G63" s="108">
        <v>0.38</v>
      </c>
      <c r="H63" s="108">
        <v>0.38</v>
      </c>
      <c r="I63" s="108">
        <v>0.38</v>
      </c>
      <c r="J63" s="108"/>
      <c r="K63" s="146">
        <v>26.3</v>
      </c>
      <c r="L63" s="144">
        <v>26.18</v>
      </c>
      <c r="M63" s="80" t="s">
        <v>89</v>
      </c>
      <c r="N63" s="80"/>
      <c r="O63" s="110"/>
      <c r="P63" s="75"/>
      <c r="Q63" s="106" t="s">
        <v>93</v>
      </c>
      <c r="R63" s="145">
        <v>27.6</v>
      </c>
      <c r="S63" s="64">
        <f t="shared" si="4"/>
        <v>13.427150585844094</v>
      </c>
      <c r="T63" s="57">
        <v>3</v>
      </c>
      <c r="U63" s="57"/>
      <c r="V63" s="57"/>
      <c r="W63" s="57">
        <f t="shared" si="3"/>
        <v>52</v>
      </c>
      <c r="X63" s="143">
        <f t="shared" si="5"/>
        <v>0</v>
      </c>
      <c r="Y63" s="143">
        <f>IF(OR(K63&gt;Cuts!$B$16, L63&gt;Cuts!B$16), 1,0)</f>
        <v>0</v>
      </c>
      <c r="Z63" s="246">
        <f>IF(OR(C63&gt;Cuts!$C$16, D63&gt;Cuts!$C$16),1,0)</f>
        <v>0</v>
      </c>
      <c r="AA63" s="306">
        <f t="shared" si="6"/>
        <v>0</v>
      </c>
    </row>
    <row r="64" spans="1:28">
      <c r="A64" s="78">
        <v>53</v>
      </c>
      <c r="B64" s="80"/>
      <c r="C64" s="81">
        <v>204</v>
      </c>
      <c r="D64" s="77">
        <v>204</v>
      </c>
      <c r="E64" s="147">
        <v>0.38</v>
      </c>
      <c r="F64" s="108">
        <v>0.39</v>
      </c>
      <c r="G64" s="108">
        <v>0.39</v>
      </c>
      <c r="H64" s="108">
        <v>0.39</v>
      </c>
      <c r="I64" s="108">
        <v>0.39</v>
      </c>
      <c r="J64" s="108"/>
      <c r="K64" s="146">
        <v>26.32</v>
      </c>
      <c r="L64" s="144">
        <v>26.12</v>
      </c>
      <c r="M64" s="80"/>
      <c r="N64" s="110" t="s">
        <v>89</v>
      </c>
      <c r="O64" s="110"/>
      <c r="P64" s="75" t="s">
        <v>89</v>
      </c>
      <c r="Q64" s="106" t="s">
        <v>93</v>
      </c>
      <c r="R64" s="145">
        <v>28.1</v>
      </c>
      <c r="S64" s="64">
        <f t="shared" si="4"/>
        <v>13.539784106648703</v>
      </c>
      <c r="T64" s="57">
        <v>3</v>
      </c>
      <c r="U64" s="57"/>
      <c r="V64" s="57"/>
      <c r="W64" s="57">
        <f t="shared" si="3"/>
        <v>53</v>
      </c>
      <c r="X64" s="143">
        <f t="shared" si="5"/>
        <v>0</v>
      </c>
      <c r="Y64" s="143">
        <f>IF(OR(K64&gt;Cuts!$B$16, L64&gt;Cuts!B$16), 1,0)</f>
        <v>0</v>
      </c>
      <c r="Z64" s="246">
        <f>IF(OR(C64&gt;Cuts!$C$16, D64&gt;Cuts!$C$16),1,0)</f>
        <v>0</v>
      </c>
      <c r="AA64" s="306">
        <f t="shared" si="6"/>
        <v>0</v>
      </c>
    </row>
    <row r="65" spans="1:27">
      <c r="A65" s="78">
        <v>54</v>
      </c>
      <c r="B65" s="80"/>
      <c r="C65" s="90">
        <v>204</v>
      </c>
      <c r="D65" s="148">
        <v>204</v>
      </c>
      <c r="E65" s="147">
        <v>0.38</v>
      </c>
      <c r="F65" s="108">
        <v>0.38</v>
      </c>
      <c r="G65" s="108">
        <v>0.38</v>
      </c>
      <c r="H65" s="108">
        <v>0.38</v>
      </c>
      <c r="I65" s="108">
        <v>0.38</v>
      </c>
      <c r="J65" s="108"/>
      <c r="K65" s="149">
        <v>26.06</v>
      </c>
      <c r="L65" s="150">
        <v>26.3</v>
      </c>
      <c r="M65" s="80" t="s">
        <v>89</v>
      </c>
      <c r="N65" s="110" t="s">
        <v>89</v>
      </c>
      <c r="O65" s="110" t="s">
        <v>89</v>
      </c>
      <c r="P65" s="75"/>
      <c r="Q65" s="106" t="s">
        <v>94</v>
      </c>
      <c r="R65" s="151">
        <v>27.2</v>
      </c>
      <c r="S65" s="96">
        <f t="shared" si="4"/>
        <v>13.402490182675942</v>
      </c>
      <c r="T65" s="57">
        <v>3</v>
      </c>
      <c r="U65" s="57"/>
      <c r="V65" s="57"/>
      <c r="W65" s="57">
        <f t="shared" si="3"/>
        <v>54</v>
      </c>
      <c r="X65" s="152">
        <f t="shared" si="5"/>
        <v>0</v>
      </c>
      <c r="Y65" s="152">
        <f>IF(OR(K65&gt;Cuts!$B$16, L65&gt;Cuts!B$16), 1,0)</f>
        <v>0</v>
      </c>
      <c r="Z65" s="248">
        <f>IF(OR(C65&gt;Cuts!$C$16, D65&gt;Cuts!$C$16),1,0)</f>
        <v>0</v>
      </c>
      <c r="AA65" s="307">
        <f t="shared" si="6"/>
        <v>0</v>
      </c>
    </row>
    <row r="66" spans="1:27" s="31" customFormat="1">
      <c r="A66" s="97" t="s">
        <v>156</v>
      </c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>
        <f>SUM(Y12:Y65)</f>
        <v>0</v>
      </c>
      <c r="Z66" s="97">
        <f>SUM(Z12:Z65)</f>
        <v>0</v>
      </c>
      <c r="AA66" s="98">
        <f>SUM(AA12:AA65)</f>
        <v>11</v>
      </c>
    </row>
    <row r="67" spans="1:27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 spans="1:27">
      <c r="A68" s="37" t="s">
        <v>114</v>
      </c>
      <c r="B68" s="57"/>
      <c r="C68" s="764" t="s">
        <v>132</v>
      </c>
      <c r="D68" s="764"/>
      <c r="E68" s="764" t="s">
        <v>133</v>
      </c>
      <c r="F68" s="764"/>
      <c r="G68" s="57"/>
      <c r="H68" s="57"/>
      <c r="I68" s="57"/>
      <c r="J68" s="57"/>
      <c r="K68" s="764" t="s">
        <v>130</v>
      </c>
      <c r="L68" s="764"/>
      <c r="M68" s="57"/>
      <c r="N68" s="57"/>
      <c r="O68" s="57"/>
      <c r="P68" s="57"/>
      <c r="Q68" s="764" t="s">
        <v>134</v>
      </c>
      <c r="R68" s="764"/>
      <c r="S68" s="764" t="s">
        <v>135</v>
      </c>
      <c r="T68" s="764"/>
      <c r="U68" s="57"/>
      <c r="V68" s="57"/>
      <c r="W68" s="57"/>
      <c r="X68" s="57"/>
      <c r="Y68" s="57"/>
      <c r="Z68" s="57"/>
    </row>
    <row r="69" spans="1:27">
      <c r="A69" s="66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 spans="1:27">
      <c r="A70" s="57" t="s">
        <v>116</v>
      </c>
      <c r="B70" s="57"/>
      <c r="C70" s="57">
        <f>8*25.4</f>
        <v>203.2</v>
      </c>
      <c r="D70" s="57"/>
      <c r="E70" s="57">
        <f>C6</f>
        <v>0.38099999999999995</v>
      </c>
      <c r="F70" s="57"/>
      <c r="G70" s="57"/>
      <c r="H70" s="57"/>
      <c r="I70" s="57"/>
      <c r="J70" s="57"/>
      <c r="K70" s="102">
        <v>25.4</v>
      </c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 spans="1:27">
      <c r="A71" s="57" t="s">
        <v>111</v>
      </c>
      <c r="B71" s="57"/>
      <c r="C71" s="57">
        <f>MODE(C12:D65)</f>
        <v>204</v>
      </c>
      <c r="D71" s="57"/>
      <c r="E71" s="57">
        <f>MODE(E12:I65)</f>
        <v>0.39</v>
      </c>
      <c r="F71" s="57"/>
      <c r="G71" s="57"/>
      <c r="H71" s="57"/>
      <c r="I71" s="57"/>
      <c r="J71" s="57"/>
      <c r="K71" s="57">
        <f>MODE(K12:K65)</f>
        <v>26.27</v>
      </c>
      <c r="L71" s="57"/>
      <c r="M71" s="57"/>
      <c r="N71" s="57"/>
      <c r="O71" s="57"/>
      <c r="P71" s="57"/>
      <c r="Q71" s="57"/>
      <c r="R71" s="57">
        <f>MODE(R12:R65)</f>
        <v>27.8</v>
      </c>
      <c r="S71" s="57" t="e">
        <f>MODE(S12:S65)</f>
        <v>#N/A</v>
      </c>
      <c r="T71" s="57"/>
      <c r="U71" s="57"/>
      <c r="V71" s="57"/>
      <c r="W71" s="57"/>
      <c r="X71" s="57"/>
      <c r="Y71" s="57"/>
      <c r="Z71" s="57"/>
    </row>
    <row r="72" spans="1:27">
      <c r="A72" s="57" t="s">
        <v>110</v>
      </c>
      <c r="B72" s="57"/>
      <c r="C72" s="121">
        <f>AVERAGE(C12:D65)</f>
        <v>203.87962962962962</v>
      </c>
      <c r="D72" s="121"/>
      <c r="E72" s="65">
        <f>AVERAGE(E12:I65)</f>
        <v>0.38399999999999984</v>
      </c>
      <c r="F72" s="57"/>
      <c r="G72" s="57"/>
      <c r="H72" s="57"/>
      <c r="I72" s="57"/>
      <c r="J72" s="57"/>
      <c r="K72" s="153">
        <f>AVERAGE(K12:K65)</f>
        <v>26.256481481481472</v>
      </c>
      <c r="L72" s="57"/>
      <c r="M72" s="57"/>
      <c r="N72" s="57"/>
      <c r="O72" s="57"/>
      <c r="P72" s="57"/>
      <c r="Q72" s="57"/>
      <c r="R72" s="104">
        <f>AVERAGE(R12:R65)</f>
        <v>27.970370370370361</v>
      </c>
      <c r="S72" s="104">
        <f>AVERAGE(S12:S65)</f>
        <v>13.614555563050022</v>
      </c>
      <c r="T72" s="57"/>
      <c r="U72" s="57"/>
      <c r="V72" s="57"/>
      <c r="W72" s="57"/>
      <c r="X72" s="57"/>
      <c r="Y72" s="57"/>
      <c r="Z72" s="57"/>
    </row>
    <row r="73" spans="1:27">
      <c r="A73" s="57" t="s">
        <v>117</v>
      </c>
      <c r="B73" s="57"/>
      <c r="C73" s="65">
        <f>STDEV(C12:D65)</f>
        <v>0.32691113407342098</v>
      </c>
      <c r="D73" s="57"/>
      <c r="E73" s="65">
        <f>STDEV(E12:I65)</f>
        <v>6.7565196381582223E-3</v>
      </c>
      <c r="F73" s="57"/>
      <c r="G73" s="57"/>
      <c r="H73" s="57"/>
      <c r="I73" s="57"/>
      <c r="J73" s="57"/>
      <c r="K73" s="65">
        <f>STDEV(K12:K65)</f>
        <v>0.11300621801906001</v>
      </c>
      <c r="L73" s="57"/>
      <c r="M73" s="57"/>
      <c r="N73" s="57"/>
      <c r="O73" s="57"/>
      <c r="P73" s="57"/>
      <c r="Q73" s="57"/>
      <c r="R73" s="65">
        <f>STDEV(R12:R65)</f>
        <v>0.38736148084449701</v>
      </c>
      <c r="S73" s="65">
        <f>STDEV(S12:S65)</f>
        <v>0.14482374084550237</v>
      </c>
      <c r="T73" s="57"/>
      <c r="U73" s="57"/>
      <c r="V73" s="57"/>
      <c r="W73" s="57"/>
      <c r="X73" s="57"/>
      <c r="Y73" s="57"/>
      <c r="Z73" s="57"/>
    </row>
    <row r="74" spans="1:27">
      <c r="A74" s="154" t="s">
        <v>118</v>
      </c>
      <c r="B74" s="57"/>
      <c r="C74" s="121">
        <f>C72+C73</f>
        <v>204.20654076370303</v>
      </c>
      <c r="D74" s="57"/>
      <c r="E74" s="65">
        <f>E72+E73</f>
        <v>0.39075651963815805</v>
      </c>
      <c r="F74" s="57"/>
      <c r="G74" s="57"/>
      <c r="H74" s="57"/>
      <c r="I74" s="57"/>
      <c r="J74" s="57"/>
      <c r="K74" s="153">
        <f>K72+K73</f>
        <v>26.369487699500532</v>
      </c>
      <c r="L74" s="57"/>
      <c r="M74" s="57"/>
      <c r="N74" s="57"/>
      <c r="O74" s="57"/>
      <c r="P74" s="57"/>
      <c r="Q74" s="57"/>
      <c r="R74" s="65">
        <f>R72+R73</f>
        <v>28.357731851214858</v>
      </c>
      <c r="S74" s="104">
        <f>S72+S73</f>
        <v>13.759379303895525</v>
      </c>
      <c r="T74" s="57"/>
      <c r="U74" s="57"/>
      <c r="V74" s="57"/>
      <c r="W74" s="57"/>
      <c r="X74" s="57"/>
      <c r="Y74" s="57"/>
      <c r="Z74" s="57"/>
    </row>
    <row r="75" spans="1:27">
      <c r="A75" s="154" t="s">
        <v>119</v>
      </c>
      <c r="B75" s="57"/>
      <c r="C75" s="121">
        <f>C72-C73</f>
        <v>203.55271849555621</v>
      </c>
      <c r="D75" s="57"/>
      <c r="E75" s="65">
        <f>E72-E73</f>
        <v>0.37724348036184163</v>
      </c>
      <c r="F75" s="57"/>
      <c r="G75" s="57"/>
      <c r="H75" s="57"/>
      <c r="I75" s="57"/>
      <c r="J75" s="57"/>
      <c r="K75" s="153">
        <f>K72-K73</f>
        <v>26.143475263462413</v>
      </c>
      <c r="L75" s="57"/>
      <c r="M75" s="57"/>
      <c r="N75" s="57"/>
      <c r="O75" s="57"/>
      <c r="P75" s="57"/>
      <c r="Q75" s="57"/>
      <c r="R75" s="65">
        <f>R72-R73</f>
        <v>27.583008889525864</v>
      </c>
      <c r="S75" s="104">
        <f>S72-S73</f>
        <v>13.469731822204519</v>
      </c>
      <c r="T75" s="57"/>
      <c r="U75" s="57"/>
      <c r="V75" s="57"/>
      <c r="W75" s="57"/>
      <c r="X75" s="57"/>
      <c r="Y75" s="57"/>
      <c r="Z75" s="57"/>
    </row>
    <row r="76" spans="1:27">
      <c r="A76" s="154" t="s">
        <v>143</v>
      </c>
      <c r="B76" s="57"/>
      <c r="C76" s="57">
        <f>MAX(C12:D65)-C70</f>
        <v>0.80000000000001137</v>
      </c>
      <c r="D76" s="57"/>
      <c r="E76" s="65">
        <f>MAX(E12:I65)-E70</f>
        <v>1.9000000000000072E-2</v>
      </c>
      <c r="F76" s="57"/>
      <c r="G76" s="57"/>
      <c r="H76" s="57"/>
      <c r="I76" s="57"/>
      <c r="J76" s="57"/>
      <c r="K76" s="153">
        <f>MAX(K12:L65)-$K$70</f>
        <v>1.0600000000000023</v>
      </c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 spans="1:27">
      <c r="A77" s="154" t="s">
        <v>144</v>
      </c>
      <c r="B77" s="57"/>
      <c r="C77" s="57">
        <f>MIN(C12:D65)-C70</f>
        <v>-0.19999999999998863</v>
      </c>
      <c r="D77" s="57"/>
      <c r="E77" s="65">
        <f>MIN(E12:I65)-E70</f>
        <v>-2.0999999999999963E-2</v>
      </c>
      <c r="F77" s="57"/>
      <c r="G77" s="57"/>
      <c r="H77" s="57"/>
      <c r="I77" s="57"/>
      <c r="J77" s="57"/>
      <c r="K77" s="153">
        <f>MIN(K12:K24)-K70</f>
        <v>0.69000000000000128</v>
      </c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 spans="1:27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 spans="1:27" ht="15.75" thickBot="1">
      <c r="A79" s="57" t="s">
        <v>146</v>
      </c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 spans="1:27">
      <c r="A80" s="57">
        <v>0.35</v>
      </c>
      <c r="B80" s="57"/>
      <c r="C80" s="40" t="s">
        <v>147</v>
      </c>
      <c r="D80" s="40" t="s">
        <v>149</v>
      </c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 spans="1:26">
      <c r="A81" s="57">
        <v>0.36</v>
      </c>
      <c r="B81" s="57"/>
      <c r="C81" s="123">
        <v>0.35</v>
      </c>
      <c r="D81" s="124">
        <v>0</v>
      </c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spans="1:26">
      <c r="A82" s="57">
        <v>0.37</v>
      </c>
      <c r="B82" s="57"/>
      <c r="C82" s="123">
        <v>0.36</v>
      </c>
      <c r="D82" s="124">
        <v>2</v>
      </c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 spans="1:26">
      <c r="A83" s="57">
        <v>0.38</v>
      </c>
      <c r="B83" s="57"/>
      <c r="C83" s="123">
        <v>0.37</v>
      </c>
      <c r="D83" s="124">
        <v>19</v>
      </c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 spans="1:26">
      <c r="A84" s="57">
        <v>0.39</v>
      </c>
      <c r="B84" s="57"/>
      <c r="C84" s="123">
        <v>0.38</v>
      </c>
      <c r="D84" s="124">
        <v>122</v>
      </c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 spans="1:26">
      <c r="A85" s="57">
        <v>0.4</v>
      </c>
      <c r="B85" s="57"/>
      <c r="C85" s="123">
        <v>0.39</v>
      </c>
      <c r="D85" s="124">
        <v>123</v>
      </c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 spans="1:26">
      <c r="A86" s="57"/>
      <c r="B86" s="57"/>
      <c r="C86" s="123">
        <v>0.4</v>
      </c>
      <c r="D86" s="124">
        <v>4</v>
      </c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 spans="1:26" ht="15.75" thickBot="1">
      <c r="A87" s="57"/>
      <c r="B87" s="57"/>
      <c r="C87" s="125" t="s">
        <v>148</v>
      </c>
      <c r="D87" s="125">
        <v>0</v>
      </c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 spans="1:26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 spans="1:26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 spans="1:26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</sheetData>
  <sortState ref="C81:C86">
    <sortCondition ref="C81"/>
  </sortState>
  <dataConsolidate/>
  <mergeCells count="9">
    <mergeCell ref="Q68:R68"/>
    <mergeCell ref="S68:T68"/>
    <mergeCell ref="M9:P9"/>
    <mergeCell ref="E9:I9"/>
    <mergeCell ref="C9:D9"/>
    <mergeCell ref="K9:L9"/>
    <mergeCell ref="E68:F68"/>
    <mergeCell ref="K68:L68"/>
    <mergeCell ref="C68:D68"/>
  </mergeCells>
  <conditionalFormatting sqref="M12:P65">
    <cfRule type="containsText" dxfId="1" priority="1" operator="containsText" text="Y">
      <formula>NOT(ISERROR(SEARCH("Y",'\Users\nicoleduncan\AppData\Local\Microsoft\Windows\Temporary Internet Files\Content.MSO\[Slat Characterization Jeren 06132012.xls]A'!A1)))</formula>
    </cfRule>
  </conditionalFormatting>
  <pageMargins left="0.2" right="0.2" top="0.5" bottom="0.5" header="0.3" footer="0.3"/>
  <pageSetup orientation="landscape" horizontalDpi="200" verticalDpi="20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dimension ref="A1:P97"/>
  <sheetViews>
    <sheetView view="pageBreakPreview" zoomScale="60" zoomScaleNormal="70" workbookViewId="0">
      <selection activeCell="J18" sqref="J18"/>
    </sheetView>
  </sheetViews>
  <sheetFormatPr defaultRowHeight="15"/>
  <cols>
    <col min="3" max="3" width="14.42578125" customWidth="1"/>
    <col min="4" max="6" width="11.85546875" customWidth="1"/>
    <col min="13" max="13" width="10.85546875" customWidth="1"/>
  </cols>
  <sheetData>
    <row r="1" spans="1:7" ht="21">
      <c r="A1" s="650" t="s">
        <v>567</v>
      </c>
    </row>
    <row r="2" spans="1:7">
      <c r="A2" t="s">
        <v>568</v>
      </c>
    </row>
    <row r="4" spans="1:7">
      <c r="A4" t="s">
        <v>569</v>
      </c>
    </row>
    <row r="7" spans="1:7">
      <c r="A7" t="s">
        <v>570</v>
      </c>
    </row>
    <row r="8" spans="1:7">
      <c r="A8" t="s">
        <v>571</v>
      </c>
    </row>
    <row r="10" spans="1:7" ht="15.75" thickBot="1"/>
    <row r="11" spans="1:7">
      <c r="B11" s="317"/>
      <c r="C11" s="406"/>
      <c r="D11" s="406"/>
      <c r="E11" s="406"/>
      <c r="F11" s="406"/>
      <c r="G11" s="407"/>
    </row>
    <row r="12" spans="1:7" ht="26.25">
      <c r="B12" s="721" t="s">
        <v>389</v>
      </c>
      <c r="C12" s="504"/>
      <c r="D12" s="11"/>
      <c r="E12" s="11"/>
      <c r="F12" s="11"/>
      <c r="G12" s="322"/>
    </row>
    <row r="13" spans="1:7">
      <c r="B13" s="319"/>
      <c r="C13" s="11"/>
      <c r="D13" s="11"/>
      <c r="E13" s="11"/>
      <c r="F13" s="11"/>
      <c r="G13" s="322"/>
    </row>
    <row r="14" spans="1:7">
      <c r="B14" s="319" t="s">
        <v>374</v>
      </c>
      <c r="C14" s="4" t="s">
        <v>383</v>
      </c>
      <c r="D14" s="45" t="s">
        <v>381</v>
      </c>
      <c r="E14" s="45" t="s">
        <v>382</v>
      </c>
      <c r="F14" s="11" t="s">
        <v>387</v>
      </c>
      <c r="G14" s="322"/>
    </row>
    <row r="15" spans="1:7">
      <c r="B15" s="571" t="s">
        <v>364</v>
      </c>
      <c r="C15" s="1" t="s">
        <v>364</v>
      </c>
      <c r="D15" s="46" t="s">
        <v>112</v>
      </c>
      <c r="E15" s="46" t="s">
        <v>366</v>
      </c>
      <c r="F15" s="32" t="s">
        <v>585</v>
      </c>
      <c r="G15" s="322"/>
    </row>
    <row r="16" spans="1:7">
      <c r="B16" s="319"/>
      <c r="C16" s="4"/>
      <c r="D16" s="45"/>
      <c r="E16" s="45"/>
      <c r="F16" s="11"/>
      <c r="G16" s="322"/>
    </row>
    <row r="17" spans="2:9">
      <c r="B17" s="319" t="s">
        <v>6</v>
      </c>
      <c r="C17" s="4" t="s">
        <v>6</v>
      </c>
      <c r="D17" s="492">
        <f>Washers!D14</f>
        <v>1.3173228346456694E-2</v>
      </c>
      <c r="E17" s="45"/>
      <c r="F17" s="11"/>
      <c r="G17" s="322"/>
      <c r="I17" s="312"/>
    </row>
    <row r="18" spans="2:9">
      <c r="B18" s="571" t="s">
        <v>164</v>
      </c>
      <c r="C18" s="1" t="s">
        <v>164</v>
      </c>
      <c r="D18" s="493">
        <f>Washers!D15</f>
        <v>1.3173228346456694E-2</v>
      </c>
      <c r="E18" s="715">
        <f>O50</f>
        <v>353.6</v>
      </c>
      <c r="F18" s="486">
        <v>380</v>
      </c>
      <c r="G18" s="322"/>
      <c r="I18" s="312"/>
    </row>
    <row r="19" spans="2:9">
      <c r="B19" s="415" t="s">
        <v>9</v>
      </c>
      <c r="C19" s="491" t="s">
        <v>9</v>
      </c>
      <c r="D19" s="492">
        <f>Washers!$D$16</f>
        <v>1.7503937007874018E-2</v>
      </c>
      <c r="E19" s="716"/>
      <c r="F19" s="497"/>
      <c r="G19" s="322"/>
      <c r="I19" s="312"/>
    </row>
    <row r="20" spans="2:9">
      <c r="B20" s="319" t="s">
        <v>165</v>
      </c>
      <c r="C20" s="4" t="s">
        <v>165</v>
      </c>
      <c r="D20" s="492">
        <f>Washers!$D$17</f>
        <v>1.8291338582677168E-2</v>
      </c>
      <c r="E20" s="44"/>
      <c r="F20" s="719"/>
      <c r="G20" s="322"/>
      <c r="I20" s="312"/>
    </row>
    <row r="21" spans="2:9">
      <c r="B21" s="319" t="s">
        <v>11</v>
      </c>
      <c r="C21" s="4" t="s">
        <v>9</v>
      </c>
      <c r="D21" s="492">
        <f>Washers!$D$16</f>
        <v>1.7503937007874018E-2</v>
      </c>
      <c r="E21" s="44"/>
      <c r="F21" s="719"/>
      <c r="G21" s="322"/>
      <c r="I21" s="312"/>
    </row>
    <row r="22" spans="2:9">
      <c r="B22" s="319" t="s">
        <v>226</v>
      </c>
      <c r="C22" s="4" t="s">
        <v>165</v>
      </c>
      <c r="D22" s="492">
        <f>Washers!$D$17</f>
        <v>1.8291338582677168E-2</v>
      </c>
      <c r="E22" s="44"/>
      <c r="F22" s="719"/>
      <c r="G22" s="322"/>
      <c r="I22" s="312"/>
    </row>
    <row r="23" spans="2:9">
      <c r="B23" s="571" t="s">
        <v>13</v>
      </c>
      <c r="C23" s="1" t="s">
        <v>9</v>
      </c>
      <c r="D23" s="492">
        <f>Washers!$D$16</f>
        <v>1.7503937007874018E-2</v>
      </c>
      <c r="E23" s="715">
        <f>O55</f>
        <v>857.6</v>
      </c>
      <c r="F23" s="486">
        <v>900</v>
      </c>
      <c r="G23" s="322"/>
      <c r="I23" s="312"/>
    </row>
    <row r="24" spans="2:9">
      <c r="B24" s="722" t="s">
        <v>15</v>
      </c>
      <c r="C24" s="490" t="s">
        <v>11</v>
      </c>
      <c r="D24" s="495">
        <f>Washers!D18</f>
        <v>2.262204724409449E-2</v>
      </c>
      <c r="E24" s="717">
        <f>O56</f>
        <v>248.4</v>
      </c>
      <c r="F24" s="486">
        <v>270</v>
      </c>
      <c r="G24" s="322"/>
      <c r="I24" s="312"/>
    </row>
    <row r="25" spans="2:9">
      <c r="B25" s="722" t="s">
        <v>17</v>
      </c>
      <c r="C25" s="490" t="s">
        <v>13</v>
      </c>
      <c r="D25" s="495">
        <f>Washers!D19</f>
        <v>2.7740157480314963E-2</v>
      </c>
      <c r="E25" s="717">
        <f>O57</f>
        <v>220.8</v>
      </c>
      <c r="F25" s="486">
        <v>240</v>
      </c>
      <c r="G25" s="322"/>
      <c r="I25" s="312"/>
    </row>
    <row r="26" spans="2:9">
      <c r="B26" s="415" t="s">
        <v>19</v>
      </c>
      <c r="C26" s="491" t="s">
        <v>15</v>
      </c>
      <c r="D26" s="494">
        <f>Washers!D20</f>
        <v>3.246456692913386E-2</v>
      </c>
      <c r="E26" s="716"/>
      <c r="F26" s="497"/>
      <c r="G26" s="322"/>
      <c r="I26" s="312"/>
    </row>
    <row r="27" spans="2:9">
      <c r="B27" s="571" t="s">
        <v>168</v>
      </c>
      <c r="C27" s="1" t="s">
        <v>166</v>
      </c>
      <c r="D27" s="493">
        <f>Washers!D21</f>
        <v>3.246456692913386E-2</v>
      </c>
      <c r="E27" s="44">
        <f>O59</f>
        <v>190.4</v>
      </c>
      <c r="F27" s="486">
        <v>210</v>
      </c>
      <c r="G27" s="322"/>
      <c r="I27" s="312"/>
    </row>
    <row r="28" spans="2:9">
      <c r="B28" s="415" t="s">
        <v>21</v>
      </c>
      <c r="C28" s="491" t="s">
        <v>17</v>
      </c>
      <c r="D28" s="494">
        <f>Washers!D22</f>
        <v>3.7976377952755908E-2</v>
      </c>
      <c r="E28" s="716"/>
      <c r="F28" s="497"/>
      <c r="G28" s="322"/>
      <c r="I28" s="312"/>
    </row>
    <row r="29" spans="2:9">
      <c r="B29" s="571" t="s">
        <v>243</v>
      </c>
      <c r="C29" s="1" t="s">
        <v>167</v>
      </c>
      <c r="D29" s="493">
        <f>Washers!D23</f>
        <v>3.8370078740157486E-2</v>
      </c>
      <c r="E29" s="715">
        <f>O61</f>
        <v>187.2</v>
      </c>
      <c r="F29" s="486">
        <v>205</v>
      </c>
      <c r="G29" s="322"/>
      <c r="I29" s="312"/>
    </row>
    <row r="30" spans="2:9">
      <c r="B30" s="415" t="s">
        <v>22</v>
      </c>
      <c r="C30" s="491" t="s">
        <v>19</v>
      </c>
      <c r="D30" s="494">
        <f>Washers!D24</f>
        <v>4.8212598425196852E-2</v>
      </c>
      <c r="E30" s="716"/>
      <c r="F30" s="497"/>
      <c r="G30" s="322"/>
      <c r="I30" s="312"/>
    </row>
    <row r="31" spans="2:9">
      <c r="B31" s="571" t="s">
        <v>244</v>
      </c>
      <c r="C31" s="1" t="s">
        <v>168</v>
      </c>
      <c r="D31" s="493">
        <f>Washers!D25</f>
        <v>4.8212598425196852E-2</v>
      </c>
      <c r="E31" s="715">
        <f t="shared" ref="E31:E36" si="0">O63</f>
        <v>136</v>
      </c>
      <c r="F31" s="486">
        <v>155</v>
      </c>
      <c r="G31" s="322"/>
      <c r="I31" s="312"/>
    </row>
    <row r="32" spans="2:9">
      <c r="B32" s="722" t="s">
        <v>24</v>
      </c>
      <c r="C32" s="1" t="s">
        <v>21</v>
      </c>
      <c r="D32" s="495">
        <f>Washers!D26</f>
        <v>5.7661417322834647E-2</v>
      </c>
      <c r="E32" s="717">
        <f t="shared" si="0"/>
        <v>110</v>
      </c>
      <c r="F32" s="486">
        <v>125</v>
      </c>
      <c r="G32" s="322"/>
      <c r="I32" s="312"/>
    </row>
    <row r="33" spans="1:15">
      <c r="B33" s="722" t="s">
        <v>26</v>
      </c>
      <c r="C33" s="1" t="s">
        <v>22</v>
      </c>
      <c r="D33" s="495">
        <f>Washers!D27</f>
        <v>7.4984251968503932E-2</v>
      </c>
      <c r="E33" s="717">
        <f t="shared" si="0"/>
        <v>82</v>
      </c>
      <c r="F33" s="486">
        <v>90</v>
      </c>
      <c r="G33" s="322"/>
      <c r="I33" s="312"/>
    </row>
    <row r="34" spans="1:15">
      <c r="B34" s="722" t="s">
        <v>239</v>
      </c>
      <c r="C34" s="1" t="s">
        <v>24</v>
      </c>
      <c r="D34" s="495">
        <f>Washers!D28</f>
        <v>0.13128346456692913</v>
      </c>
      <c r="E34" s="717">
        <f t="shared" si="0"/>
        <v>55</v>
      </c>
      <c r="F34" s="486">
        <v>60</v>
      </c>
      <c r="G34" s="322"/>
      <c r="I34" s="312"/>
    </row>
    <row r="35" spans="1:15">
      <c r="B35" s="722" t="s">
        <v>89</v>
      </c>
      <c r="C35" s="1" t="s">
        <v>26</v>
      </c>
      <c r="D35" s="495">
        <f>Washers!D29</f>
        <v>0.25923622047244094</v>
      </c>
      <c r="E35" s="717">
        <f t="shared" si="0"/>
        <v>21</v>
      </c>
      <c r="F35" s="486">
        <v>25</v>
      </c>
      <c r="G35" s="322"/>
      <c r="I35" s="312"/>
    </row>
    <row r="36" spans="1:15">
      <c r="B36" s="722" t="s">
        <v>245</v>
      </c>
      <c r="C36" s="1" t="s">
        <v>169</v>
      </c>
      <c r="D36" s="495">
        <f>Washers!D30</f>
        <v>0.26081102362204728</v>
      </c>
      <c r="E36" s="717">
        <f t="shared" si="0"/>
        <v>1</v>
      </c>
      <c r="F36" s="486">
        <v>3</v>
      </c>
      <c r="G36" s="322"/>
      <c r="I36" s="312"/>
    </row>
    <row r="37" spans="1:15">
      <c r="B37" s="319"/>
      <c r="C37" s="11"/>
      <c r="D37" s="11"/>
      <c r="E37" s="718">
        <f>SUM(E17:E36)</f>
        <v>2463</v>
      </c>
      <c r="F37" s="720">
        <f>SUM(F17:F36)</f>
        <v>2663</v>
      </c>
      <c r="G37" s="322"/>
    </row>
    <row r="38" spans="1:15" ht="15.75" thickBot="1">
      <c r="B38" s="416"/>
      <c r="C38" s="330"/>
      <c r="D38" s="330"/>
      <c r="E38" s="330"/>
      <c r="F38" s="330"/>
      <c r="G38" s="417"/>
    </row>
    <row r="44" spans="1:15">
      <c r="A44" t="s">
        <v>574</v>
      </c>
      <c r="K44" t="s">
        <v>582</v>
      </c>
    </row>
    <row r="46" spans="1:15">
      <c r="A46" s="11" t="s">
        <v>246</v>
      </c>
      <c r="B46" s="5" t="s">
        <v>549</v>
      </c>
      <c r="C46" s="11" t="s">
        <v>254</v>
      </c>
      <c r="D46" s="78" t="s">
        <v>367</v>
      </c>
      <c r="E46" s="78" t="s">
        <v>572</v>
      </c>
      <c r="F46" s="367" t="s">
        <v>382</v>
      </c>
      <c r="K46" s="4" t="s">
        <v>246</v>
      </c>
      <c r="L46" s="11" t="s">
        <v>383</v>
      </c>
      <c r="M46" s="11" t="s">
        <v>580</v>
      </c>
      <c r="N46" s="4" t="s">
        <v>583</v>
      </c>
      <c r="O46" s="15" t="s">
        <v>584</v>
      </c>
    </row>
    <row r="47" spans="1:15">
      <c r="A47" s="32" t="s">
        <v>364</v>
      </c>
      <c r="B47" s="155" t="s">
        <v>263</v>
      </c>
      <c r="C47" s="32" t="s">
        <v>266</v>
      </c>
      <c r="D47" s="32" t="s">
        <v>368</v>
      </c>
      <c r="E47" s="32" t="s">
        <v>573</v>
      </c>
      <c r="F47" s="2" t="s">
        <v>550</v>
      </c>
      <c r="K47" s="1" t="s">
        <v>364</v>
      </c>
      <c r="L47" s="32" t="s">
        <v>364</v>
      </c>
      <c r="M47" s="342" t="s">
        <v>581</v>
      </c>
      <c r="N47" s="1" t="s">
        <v>366</v>
      </c>
      <c r="O47" s="2" t="s">
        <v>366</v>
      </c>
    </row>
    <row r="48" spans="1:15">
      <c r="B48" s="139"/>
      <c r="D48" s="66"/>
      <c r="E48" s="66"/>
      <c r="F48" s="139"/>
      <c r="K48" s="4"/>
      <c r="L48" s="11"/>
      <c r="M48" s="698"/>
      <c r="N48" s="379"/>
      <c r="O48" s="696"/>
    </row>
    <row r="49" spans="1:15">
      <c r="A49" s="66" t="s">
        <v>6</v>
      </c>
      <c r="B49" s="356">
        <v>13</v>
      </c>
      <c r="C49" s="222">
        <v>4</v>
      </c>
      <c r="D49" s="222">
        <v>3</v>
      </c>
      <c r="E49" s="222">
        <v>2</v>
      </c>
      <c r="F49" s="356">
        <f>B49*C49*D49*E49</f>
        <v>312</v>
      </c>
      <c r="H49" s="32" t="s">
        <v>539</v>
      </c>
      <c r="I49" s="32"/>
      <c r="K49" s="140" t="s">
        <v>6</v>
      </c>
      <c r="L49" s="139" t="str">
        <f>B77</f>
        <v>A</v>
      </c>
      <c r="M49" s="705"/>
      <c r="N49" s="698"/>
      <c r="O49" s="706"/>
    </row>
    <row r="50" spans="1:15">
      <c r="A50" s="66" t="s">
        <v>164</v>
      </c>
      <c r="B50" s="356">
        <v>13</v>
      </c>
      <c r="C50" s="222">
        <v>2</v>
      </c>
      <c r="D50" s="222">
        <v>2</v>
      </c>
      <c r="E50" s="222">
        <v>2</v>
      </c>
      <c r="F50" s="356">
        <f t="shared" ref="F50:F68" si="1">B50*C50*D50*E50</f>
        <v>104</v>
      </c>
      <c r="H50" t="s">
        <v>370</v>
      </c>
      <c r="K50" s="130" t="s">
        <v>164</v>
      </c>
      <c r="L50" s="155" t="str">
        <f t="shared" ref="L50:L68" si="2">B78</f>
        <v>As</v>
      </c>
      <c r="M50" s="707">
        <f>'Ordering I'!K25</f>
        <v>62.4</v>
      </c>
      <c r="N50" s="342">
        <f t="shared" ref="N50:N68" si="3">E78</f>
        <v>416</v>
      </c>
      <c r="O50" s="672">
        <f t="shared" ref="O50:O68" si="4">N50-M50</f>
        <v>353.6</v>
      </c>
    </row>
    <row r="51" spans="1:15">
      <c r="A51" s="66" t="s">
        <v>9</v>
      </c>
      <c r="B51" s="356">
        <v>12</v>
      </c>
      <c r="C51" s="222">
        <v>4</v>
      </c>
      <c r="D51" s="222">
        <v>3</v>
      </c>
      <c r="E51" s="222">
        <v>2</v>
      </c>
      <c r="F51" s="356">
        <f t="shared" si="1"/>
        <v>288</v>
      </c>
      <c r="H51" t="s">
        <v>371</v>
      </c>
      <c r="K51" s="280" t="s">
        <v>9</v>
      </c>
      <c r="L51" s="97" t="str">
        <f t="shared" si="2"/>
        <v>B</v>
      </c>
      <c r="M51" s="708"/>
      <c r="N51" s="697"/>
      <c r="O51" s="709"/>
    </row>
    <row r="52" spans="1:15">
      <c r="A52" s="66" t="s">
        <v>165</v>
      </c>
      <c r="B52" s="356">
        <v>12</v>
      </c>
      <c r="C52" s="222">
        <v>2</v>
      </c>
      <c r="D52" s="224">
        <v>2</v>
      </c>
      <c r="E52" s="222">
        <v>2</v>
      </c>
      <c r="F52" s="356">
        <f t="shared" si="1"/>
        <v>96</v>
      </c>
      <c r="K52" s="140" t="s">
        <v>165</v>
      </c>
      <c r="L52" s="66" t="str">
        <f t="shared" si="2"/>
        <v>Bs</v>
      </c>
      <c r="M52" s="705"/>
      <c r="N52" s="698"/>
      <c r="O52" s="706"/>
    </row>
    <row r="53" spans="1:15">
      <c r="A53" s="66" t="s">
        <v>11</v>
      </c>
      <c r="B53" s="356">
        <v>11</v>
      </c>
      <c r="C53" s="222">
        <v>4</v>
      </c>
      <c r="D53" s="224">
        <v>3</v>
      </c>
      <c r="E53" s="222">
        <v>2</v>
      </c>
      <c r="F53" s="356">
        <f t="shared" si="1"/>
        <v>264</v>
      </c>
      <c r="K53" s="140" t="s">
        <v>11</v>
      </c>
      <c r="L53" s="66" t="str">
        <f t="shared" si="2"/>
        <v>B</v>
      </c>
      <c r="M53" s="705"/>
      <c r="N53" s="698"/>
      <c r="O53" s="706"/>
    </row>
    <row r="54" spans="1:15">
      <c r="A54" s="66" t="s">
        <v>226</v>
      </c>
      <c r="B54" s="356">
        <v>11</v>
      </c>
      <c r="C54" s="222">
        <v>1</v>
      </c>
      <c r="D54" s="224">
        <v>2</v>
      </c>
      <c r="E54" s="222">
        <v>2</v>
      </c>
      <c r="F54" s="356">
        <f t="shared" si="1"/>
        <v>44</v>
      </c>
      <c r="K54" s="140" t="s">
        <v>226</v>
      </c>
      <c r="L54" s="66" t="str">
        <f t="shared" si="2"/>
        <v>Bs</v>
      </c>
      <c r="M54" s="705"/>
      <c r="N54" s="698"/>
      <c r="O54" s="706"/>
    </row>
    <row r="55" spans="1:15">
      <c r="A55" s="11" t="s">
        <v>13</v>
      </c>
      <c r="B55" s="356">
        <v>10</v>
      </c>
      <c r="C55" s="698">
        <v>5</v>
      </c>
      <c r="D55" s="224">
        <v>3</v>
      </c>
      <c r="E55" s="222">
        <v>2</v>
      </c>
      <c r="F55" s="356">
        <f t="shared" si="1"/>
        <v>300</v>
      </c>
      <c r="K55" s="1" t="s">
        <v>13</v>
      </c>
      <c r="L55" s="111" t="str">
        <f t="shared" si="2"/>
        <v>B</v>
      </c>
      <c r="M55" s="707">
        <f>'Ordering I'!K30</f>
        <v>134.4</v>
      </c>
      <c r="N55" s="342">
        <f t="shared" si="3"/>
        <v>992</v>
      </c>
      <c r="O55" s="672">
        <f t="shared" si="4"/>
        <v>857.6</v>
      </c>
    </row>
    <row r="56" spans="1:15">
      <c r="A56" s="11" t="s">
        <v>15</v>
      </c>
      <c r="B56" s="356">
        <v>9</v>
      </c>
      <c r="C56" s="698">
        <v>5</v>
      </c>
      <c r="D56" s="224">
        <v>3</v>
      </c>
      <c r="E56" s="222">
        <v>2</v>
      </c>
      <c r="F56" s="356">
        <f t="shared" si="1"/>
        <v>270</v>
      </c>
      <c r="K56" s="490" t="s">
        <v>15</v>
      </c>
      <c r="L56" s="710" t="str">
        <f t="shared" si="2"/>
        <v>C</v>
      </c>
      <c r="M56" s="711">
        <f>'Ordering I'!K31</f>
        <v>21.599999999999998</v>
      </c>
      <c r="N56" s="681">
        <f t="shared" si="3"/>
        <v>270</v>
      </c>
      <c r="O56" s="673">
        <f t="shared" si="4"/>
        <v>248.4</v>
      </c>
    </row>
    <row r="57" spans="1:15">
      <c r="A57" s="11" t="s">
        <v>17</v>
      </c>
      <c r="B57" s="356">
        <v>8</v>
      </c>
      <c r="C57" s="698">
        <v>5</v>
      </c>
      <c r="D57" s="224">
        <v>3</v>
      </c>
      <c r="E57" s="222">
        <v>2</v>
      </c>
      <c r="F57" s="356">
        <f t="shared" si="1"/>
        <v>240</v>
      </c>
      <c r="K57" s="490" t="s">
        <v>17</v>
      </c>
      <c r="L57" s="710" t="str">
        <f t="shared" si="2"/>
        <v>D</v>
      </c>
      <c r="M57" s="711">
        <f>'Ordering I'!K32</f>
        <v>19.2</v>
      </c>
      <c r="N57" s="681">
        <f t="shared" si="3"/>
        <v>240</v>
      </c>
      <c r="O57" s="673">
        <f t="shared" si="4"/>
        <v>220.8</v>
      </c>
    </row>
    <row r="58" spans="1:15">
      <c r="A58" s="11" t="s">
        <v>19</v>
      </c>
      <c r="B58" s="356">
        <v>7</v>
      </c>
      <c r="C58" s="698">
        <v>4</v>
      </c>
      <c r="D58" s="224">
        <v>3</v>
      </c>
      <c r="E58" s="222">
        <v>2</v>
      </c>
      <c r="F58" s="356">
        <f t="shared" si="1"/>
        <v>168</v>
      </c>
      <c r="K58" s="491" t="s">
        <v>19</v>
      </c>
      <c r="L58" s="97" t="str">
        <f t="shared" si="2"/>
        <v>E</v>
      </c>
      <c r="M58" s="708"/>
      <c r="N58" s="697"/>
      <c r="O58" s="709"/>
    </row>
    <row r="59" spans="1:15">
      <c r="A59" s="11" t="s">
        <v>168</v>
      </c>
      <c r="B59" s="356">
        <v>7</v>
      </c>
      <c r="C59" s="698">
        <v>2</v>
      </c>
      <c r="D59" s="224">
        <v>2</v>
      </c>
      <c r="E59" s="222">
        <v>2</v>
      </c>
      <c r="F59" s="356">
        <f t="shared" si="1"/>
        <v>56</v>
      </c>
      <c r="K59" s="1" t="s">
        <v>168</v>
      </c>
      <c r="L59" s="111" t="str">
        <f t="shared" si="2"/>
        <v>Es</v>
      </c>
      <c r="M59" s="707">
        <f>'Ordering I'!K34</f>
        <v>33.6</v>
      </c>
      <c r="N59" s="342">
        <f t="shared" si="3"/>
        <v>224</v>
      </c>
      <c r="O59" s="672">
        <f t="shared" si="4"/>
        <v>190.4</v>
      </c>
    </row>
    <row r="60" spans="1:15">
      <c r="A60" s="11" t="s">
        <v>21</v>
      </c>
      <c r="B60" s="356">
        <v>6</v>
      </c>
      <c r="C60" s="698">
        <v>4</v>
      </c>
      <c r="D60" s="224">
        <v>3</v>
      </c>
      <c r="E60" s="222">
        <v>2</v>
      </c>
      <c r="F60" s="356">
        <f t="shared" si="1"/>
        <v>144</v>
      </c>
      <c r="K60" s="491" t="s">
        <v>21</v>
      </c>
      <c r="L60" s="97" t="str">
        <f t="shared" si="2"/>
        <v>F</v>
      </c>
      <c r="M60" s="708"/>
      <c r="N60" s="697"/>
      <c r="O60" s="709"/>
    </row>
    <row r="61" spans="1:15">
      <c r="A61" s="11" t="s">
        <v>243</v>
      </c>
      <c r="B61" s="356">
        <v>6</v>
      </c>
      <c r="C61" s="698">
        <v>3</v>
      </c>
      <c r="D61" s="224">
        <v>2</v>
      </c>
      <c r="E61" s="222">
        <v>2</v>
      </c>
      <c r="F61" s="356">
        <f t="shared" si="1"/>
        <v>72</v>
      </c>
      <c r="K61" s="1" t="s">
        <v>243</v>
      </c>
      <c r="L61" s="111" t="str">
        <f t="shared" si="2"/>
        <v>Fs</v>
      </c>
      <c r="M61" s="707">
        <f>'Ordering I'!K36</f>
        <v>28.799999999999997</v>
      </c>
      <c r="N61" s="342">
        <f t="shared" si="3"/>
        <v>216</v>
      </c>
      <c r="O61" s="672">
        <f t="shared" si="4"/>
        <v>187.2</v>
      </c>
    </row>
    <row r="62" spans="1:15">
      <c r="A62" s="11" t="s">
        <v>22</v>
      </c>
      <c r="B62" s="356">
        <v>5</v>
      </c>
      <c r="C62" s="698">
        <v>4</v>
      </c>
      <c r="D62" s="224">
        <v>3</v>
      </c>
      <c r="E62" s="222">
        <v>2</v>
      </c>
      <c r="F62" s="356">
        <f t="shared" si="1"/>
        <v>120</v>
      </c>
      <c r="K62" s="491" t="s">
        <v>22</v>
      </c>
      <c r="L62" s="712" t="str">
        <f t="shared" si="2"/>
        <v>G</v>
      </c>
      <c r="M62" s="708"/>
      <c r="N62" s="697"/>
      <c r="O62" s="709"/>
    </row>
    <row r="63" spans="1:15">
      <c r="A63" s="11" t="s">
        <v>244</v>
      </c>
      <c r="B63" s="356">
        <v>5</v>
      </c>
      <c r="C63" s="698">
        <v>2</v>
      </c>
      <c r="D63" s="224">
        <v>2</v>
      </c>
      <c r="E63" s="222">
        <v>2</v>
      </c>
      <c r="F63" s="356">
        <f t="shared" si="1"/>
        <v>40</v>
      </c>
      <c r="K63" s="1" t="s">
        <v>244</v>
      </c>
      <c r="L63" s="155" t="str">
        <f t="shared" si="2"/>
        <v>Gs</v>
      </c>
      <c r="M63" s="707">
        <f>'Ordering I'!K38</f>
        <v>24</v>
      </c>
      <c r="N63" s="342">
        <f t="shared" si="3"/>
        <v>160</v>
      </c>
      <c r="O63" s="672">
        <f t="shared" si="4"/>
        <v>136</v>
      </c>
    </row>
    <row r="64" spans="1:15">
      <c r="A64" s="11" t="s">
        <v>24</v>
      </c>
      <c r="B64" s="356">
        <v>4</v>
      </c>
      <c r="C64" s="698">
        <v>5</v>
      </c>
      <c r="D64" s="224">
        <v>3</v>
      </c>
      <c r="E64" s="222">
        <v>2</v>
      </c>
      <c r="F64" s="356">
        <f t="shared" si="1"/>
        <v>120</v>
      </c>
      <c r="K64" s="490" t="s">
        <v>24</v>
      </c>
      <c r="L64" s="713" t="str">
        <f t="shared" si="2"/>
        <v>H</v>
      </c>
      <c r="M64" s="711">
        <f>'Ordering I'!K39</f>
        <v>10</v>
      </c>
      <c r="N64" s="681">
        <f t="shared" si="3"/>
        <v>120</v>
      </c>
      <c r="O64" s="673">
        <f t="shared" si="4"/>
        <v>110</v>
      </c>
    </row>
    <row r="65" spans="1:16">
      <c r="A65" s="11" t="s">
        <v>26</v>
      </c>
      <c r="B65" s="356">
        <v>3</v>
      </c>
      <c r="C65" s="698">
        <v>5</v>
      </c>
      <c r="D65" s="224">
        <v>3</v>
      </c>
      <c r="E65" s="222">
        <v>2</v>
      </c>
      <c r="F65" s="356">
        <f t="shared" si="1"/>
        <v>90</v>
      </c>
      <c r="K65" s="490" t="s">
        <v>26</v>
      </c>
      <c r="L65" s="713" t="str">
        <f t="shared" si="2"/>
        <v>I</v>
      </c>
      <c r="M65" s="711">
        <f>'Ordering I'!K40</f>
        <v>8</v>
      </c>
      <c r="N65" s="681">
        <f t="shared" si="3"/>
        <v>90</v>
      </c>
      <c r="O65" s="673">
        <f t="shared" si="4"/>
        <v>82</v>
      </c>
    </row>
    <row r="66" spans="1:16">
      <c r="A66" s="11" t="s">
        <v>239</v>
      </c>
      <c r="B66" s="356">
        <v>2</v>
      </c>
      <c r="C66" s="698">
        <v>5</v>
      </c>
      <c r="D66" s="224">
        <v>3</v>
      </c>
      <c r="E66" s="222">
        <v>2</v>
      </c>
      <c r="F66" s="356">
        <f t="shared" si="1"/>
        <v>60</v>
      </c>
      <c r="K66" s="490" t="s">
        <v>239</v>
      </c>
      <c r="L66" s="713" t="str">
        <f t="shared" si="2"/>
        <v>J</v>
      </c>
      <c r="M66" s="711">
        <f>'Ordering I'!K41</f>
        <v>5</v>
      </c>
      <c r="N66" s="681">
        <f t="shared" si="3"/>
        <v>60</v>
      </c>
      <c r="O66" s="673">
        <f t="shared" si="4"/>
        <v>55</v>
      </c>
    </row>
    <row r="67" spans="1:16">
      <c r="A67" s="11" t="s">
        <v>89</v>
      </c>
      <c r="B67" s="356">
        <v>1</v>
      </c>
      <c r="C67" s="698">
        <v>4</v>
      </c>
      <c r="D67" s="224">
        <v>3</v>
      </c>
      <c r="E67" s="222">
        <v>2</v>
      </c>
      <c r="F67" s="356">
        <f t="shared" si="1"/>
        <v>24</v>
      </c>
      <c r="K67" s="490" t="s">
        <v>89</v>
      </c>
      <c r="L67" s="713" t="str">
        <f t="shared" si="2"/>
        <v>K</v>
      </c>
      <c r="M67" s="711">
        <f>'Ordering I'!K42</f>
        <v>3</v>
      </c>
      <c r="N67" s="681">
        <f t="shared" si="3"/>
        <v>24</v>
      </c>
      <c r="O67" s="673">
        <f t="shared" si="4"/>
        <v>21</v>
      </c>
    </row>
    <row r="68" spans="1:16">
      <c r="A68" s="32" t="s">
        <v>245</v>
      </c>
      <c r="B68" s="652">
        <v>1</v>
      </c>
      <c r="C68" s="342">
        <v>1</v>
      </c>
      <c r="D68" s="430">
        <v>2</v>
      </c>
      <c r="E68" s="380">
        <v>2</v>
      </c>
      <c r="F68" s="652">
        <f t="shared" si="1"/>
        <v>4</v>
      </c>
      <c r="K68" s="490" t="s">
        <v>245</v>
      </c>
      <c r="L68" s="713" t="str">
        <f t="shared" si="2"/>
        <v>Ks</v>
      </c>
      <c r="M68" s="711">
        <f>'Ordering I'!K43</f>
        <v>3</v>
      </c>
      <c r="N68" s="681">
        <f t="shared" si="3"/>
        <v>4</v>
      </c>
      <c r="O68" s="673">
        <f t="shared" si="4"/>
        <v>1</v>
      </c>
    </row>
    <row r="69" spans="1:16">
      <c r="B69" s="609"/>
      <c r="C69" s="696">
        <f>SUM(C49:C68)</f>
        <v>71</v>
      </c>
      <c r="D69" s="696"/>
      <c r="E69" s="696"/>
      <c r="F69" s="662">
        <f>SUM(F49:F68)</f>
        <v>2816</v>
      </c>
      <c r="M69" s="714">
        <f>SUM(M49:M68)</f>
        <v>353</v>
      </c>
      <c r="N69" s="379">
        <f>SUM(N49:N68)</f>
        <v>2816</v>
      </c>
      <c r="O69" s="528">
        <f>SUM(O49:O68)</f>
        <v>2463</v>
      </c>
      <c r="P69" s="714">
        <f>O69+M69</f>
        <v>2816</v>
      </c>
    </row>
    <row r="70" spans="1:16">
      <c r="B70" s="698"/>
      <c r="C70" s="696"/>
      <c r="D70" s="696"/>
      <c r="E70" s="696"/>
      <c r="F70" s="224"/>
      <c r="M70" s="698"/>
      <c r="N70" s="335"/>
    </row>
    <row r="72" spans="1:16">
      <c r="A72" t="s">
        <v>575</v>
      </c>
    </row>
    <row r="74" spans="1:16">
      <c r="A74" s="11" t="s">
        <v>246</v>
      </c>
      <c r="B74" s="5" t="s">
        <v>376</v>
      </c>
      <c r="C74" s="11" t="s">
        <v>579</v>
      </c>
      <c r="D74" s="11" t="s">
        <v>576</v>
      </c>
      <c r="E74" s="367" t="s">
        <v>382</v>
      </c>
    </row>
    <row r="75" spans="1:16">
      <c r="A75" s="32" t="s">
        <v>364</v>
      </c>
      <c r="B75" s="2" t="s">
        <v>364</v>
      </c>
      <c r="C75" s="32" t="s">
        <v>416</v>
      </c>
      <c r="D75" s="32" t="s">
        <v>577</v>
      </c>
      <c r="E75" s="2" t="s">
        <v>578</v>
      </c>
    </row>
    <row r="76" spans="1:16">
      <c r="B76" s="139"/>
      <c r="C76" s="66"/>
      <c r="E76" s="139"/>
    </row>
    <row r="77" spans="1:16">
      <c r="A77" s="66" t="s">
        <v>6</v>
      </c>
      <c r="B77" s="356" t="str">
        <f>C17</f>
        <v>A</v>
      </c>
      <c r="C77" s="221">
        <f>D17</f>
        <v>1.3173228346456694E-2</v>
      </c>
      <c r="D77" s="222">
        <f>F49</f>
        <v>312</v>
      </c>
      <c r="E77" s="356"/>
      <c r="H77" s="312"/>
      <c r="I77" s="312"/>
    </row>
    <row r="78" spans="1:16">
      <c r="A78" s="111" t="s">
        <v>164</v>
      </c>
      <c r="B78" s="652" t="str">
        <f t="shared" ref="B78:C96" si="5">C18</f>
        <v>As</v>
      </c>
      <c r="C78" s="432">
        <f t="shared" si="5"/>
        <v>1.3173228346456694E-2</v>
      </c>
      <c r="D78" s="430">
        <f t="shared" ref="D78:D96" si="6">F50</f>
        <v>104</v>
      </c>
      <c r="E78" s="652">
        <f>D77+D78</f>
        <v>416</v>
      </c>
      <c r="H78" s="312"/>
      <c r="I78" s="312"/>
    </row>
    <row r="79" spans="1:16">
      <c r="A79" s="97" t="s">
        <v>9</v>
      </c>
      <c r="B79" s="701" t="str">
        <f t="shared" si="5"/>
        <v>B</v>
      </c>
      <c r="C79" s="659">
        <f t="shared" si="5"/>
        <v>1.7503937007874018E-2</v>
      </c>
      <c r="D79" s="702">
        <f t="shared" si="6"/>
        <v>288</v>
      </c>
      <c r="E79" s="356"/>
      <c r="H79" s="312"/>
      <c r="I79" s="312"/>
    </row>
    <row r="80" spans="1:16">
      <c r="A80" s="66" t="s">
        <v>165</v>
      </c>
      <c r="B80" s="356" t="str">
        <f t="shared" si="5"/>
        <v>Bs</v>
      </c>
      <c r="C80" s="221">
        <f t="shared" si="5"/>
        <v>1.8291338582677168E-2</v>
      </c>
      <c r="D80" s="222">
        <f t="shared" si="6"/>
        <v>96</v>
      </c>
      <c r="E80" s="356"/>
      <c r="H80" s="312"/>
      <c r="I80" s="312"/>
    </row>
    <row r="81" spans="1:9">
      <c r="A81" s="66" t="s">
        <v>11</v>
      </c>
      <c r="B81" s="356" t="str">
        <f t="shared" si="5"/>
        <v>B</v>
      </c>
      <c r="C81" s="221">
        <f t="shared" si="5"/>
        <v>1.7503937007874018E-2</v>
      </c>
      <c r="D81" s="222">
        <f t="shared" si="6"/>
        <v>264</v>
      </c>
      <c r="E81" s="356"/>
      <c r="H81" s="312"/>
      <c r="I81" s="312"/>
    </row>
    <row r="82" spans="1:9">
      <c r="A82" s="66" t="s">
        <v>226</v>
      </c>
      <c r="B82" s="356" t="str">
        <f t="shared" si="5"/>
        <v>Bs</v>
      </c>
      <c r="C82" s="221">
        <f t="shared" si="5"/>
        <v>1.8291338582677168E-2</v>
      </c>
      <c r="D82" s="222">
        <f t="shared" si="6"/>
        <v>44</v>
      </c>
      <c r="E82" s="356"/>
      <c r="H82" s="312"/>
      <c r="I82" s="312"/>
    </row>
    <row r="83" spans="1:9">
      <c r="A83" s="32" t="s">
        <v>13</v>
      </c>
      <c r="B83" s="652" t="str">
        <f t="shared" si="5"/>
        <v>B</v>
      </c>
      <c r="C83" s="432">
        <f t="shared" si="5"/>
        <v>1.7503937007874018E-2</v>
      </c>
      <c r="D83" s="430">
        <f t="shared" si="6"/>
        <v>300</v>
      </c>
      <c r="E83" s="652">
        <f>SUM(D79:D83)</f>
        <v>992</v>
      </c>
      <c r="H83" s="312"/>
      <c r="I83" s="312"/>
    </row>
    <row r="84" spans="1:9">
      <c r="A84" s="488" t="s">
        <v>15</v>
      </c>
      <c r="B84" s="703" t="str">
        <f t="shared" si="5"/>
        <v>C</v>
      </c>
      <c r="C84" s="658">
        <f t="shared" si="5"/>
        <v>2.262204724409449E-2</v>
      </c>
      <c r="D84" s="704">
        <f t="shared" si="6"/>
        <v>270</v>
      </c>
      <c r="E84" s="703">
        <f>D84</f>
        <v>270</v>
      </c>
      <c r="H84" s="312"/>
      <c r="I84" s="312"/>
    </row>
    <row r="85" spans="1:9">
      <c r="A85" s="32" t="s">
        <v>17</v>
      </c>
      <c r="B85" s="652" t="str">
        <f t="shared" si="5"/>
        <v>D</v>
      </c>
      <c r="C85" s="432">
        <f t="shared" si="5"/>
        <v>2.7740157480314963E-2</v>
      </c>
      <c r="D85" s="430">
        <f t="shared" si="6"/>
        <v>240</v>
      </c>
      <c r="E85" s="703">
        <f>D85</f>
        <v>240</v>
      </c>
      <c r="H85" s="312"/>
      <c r="I85" s="312"/>
    </row>
    <row r="86" spans="1:9">
      <c r="A86" s="31" t="s">
        <v>19</v>
      </c>
      <c r="B86" s="701" t="str">
        <f t="shared" si="5"/>
        <v>E</v>
      </c>
      <c r="C86" s="659">
        <f t="shared" si="5"/>
        <v>3.246456692913386E-2</v>
      </c>
      <c r="D86" s="702">
        <f t="shared" si="6"/>
        <v>168</v>
      </c>
      <c r="E86" s="356"/>
      <c r="H86" s="312"/>
      <c r="I86" s="312"/>
    </row>
    <row r="87" spans="1:9">
      <c r="A87" s="32" t="s">
        <v>168</v>
      </c>
      <c r="B87" s="652" t="str">
        <f t="shared" si="5"/>
        <v>Es</v>
      </c>
      <c r="C87" s="432">
        <f t="shared" si="5"/>
        <v>3.246456692913386E-2</v>
      </c>
      <c r="D87" s="430">
        <f t="shared" si="6"/>
        <v>56</v>
      </c>
      <c r="E87" s="652">
        <f>D86+D87</f>
        <v>224</v>
      </c>
      <c r="H87" s="312"/>
      <c r="I87" s="312"/>
    </row>
    <row r="88" spans="1:9">
      <c r="A88" s="31" t="s">
        <v>21</v>
      </c>
      <c r="B88" s="701" t="str">
        <f t="shared" si="5"/>
        <v>F</v>
      </c>
      <c r="C88" s="659">
        <f t="shared" si="5"/>
        <v>3.7976377952755908E-2</v>
      </c>
      <c r="D88" s="702">
        <f t="shared" si="6"/>
        <v>144</v>
      </c>
      <c r="E88" s="356"/>
      <c r="H88" s="312"/>
      <c r="I88" s="312"/>
    </row>
    <row r="89" spans="1:9">
      <c r="A89" s="32" t="s">
        <v>243</v>
      </c>
      <c r="B89" s="652" t="str">
        <f t="shared" si="5"/>
        <v>Fs</v>
      </c>
      <c r="C89" s="432">
        <f t="shared" si="5"/>
        <v>3.8370078740157486E-2</v>
      </c>
      <c r="D89" s="430">
        <f t="shared" si="6"/>
        <v>72</v>
      </c>
      <c r="E89" s="652">
        <f>D89+D88</f>
        <v>216</v>
      </c>
      <c r="H89" s="312"/>
      <c r="I89" s="312"/>
    </row>
    <row r="90" spans="1:9">
      <c r="A90" s="31" t="s">
        <v>22</v>
      </c>
      <c r="B90" s="701" t="str">
        <f t="shared" si="5"/>
        <v>G</v>
      </c>
      <c r="C90" s="659">
        <f t="shared" si="5"/>
        <v>4.8212598425196852E-2</v>
      </c>
      <c r="D90" s="702">
        <f t="shared" si="6"/>
        <v>120</v>
      </c>
      <c r="E90" s="356"/>
      <c r="H90" s="312"/>
      <c r="I90" s="312"/>
    </row>
    <row r="91" spans="1:9">
      <c r="A91" s="32" t="s">
        <v>244</v>
      </c>
      <c r="B91" s="652" t="str">
        <f t="shared" si="5"/>
        <v>Gs</v>
      </c>
      <c r="C91" s="432">
        <f t="shared" si="5"/>
        <v>4.8212598425196852E-2</v>
      </c>
      <c r="D91" s="430">
        <f t="shared" si="6"/>
        <v>40</v>
      </c>
      <c r="E91" s="652">
        <f>D91+D90</f>
        <v>160</v>
      </c>
      <c r="H91" s="312"/>
      <c r="I91" s="312"/>
    </row>
    <row r="92" spans="1:9">
      <c r="A92" s="488" t="s">
        <v>24</v>
      </c>
      <c r="B92" s="703" t="str">
        <f t="shared" si="5"/>
        <v>H</v>
      </c>
      <c r="C92" s="658">
        <f t="shared" si="5"/>
        <v>5.7661417322834647E-2</v>
      </c>
      <c r="D92" s="704">
        <f t="shared" si="6"/>
        <v>120</v>
      </c>
      <c r="E92" s="703">
        <f>D92</f>
        <v>120</v>
      </c>
      <c r="H92" s="312"/>
      <c r="I92" s="312"/>
    </row>
    <row r="93" spans="1:9">
      <c r="A93" s="488" t="s">
        <v>26</v>
      </c>
      <c r="B93" s="703" t="str">
        <f t="shared" si="5"/>
        <v>I</v>
      </c>
      <c r="C93" s="658">
        <f t="shared" si="5"/>
        <v>7.4984251968503932E-2</v>
      </c>
      <c r="D93" s="704">
        <f t="shared" si="6"/>
        <v>90</v>
      </c>
      <c r="E93" s="703">
        <f t="shared" ref="E93:E96" si="7">D93</f>
        <v>90</v>
      </c>
      <c r="H93" s="312"/>
      <c r="I93" s="312"/>
    </row>
    <row r="94" spans="1:9">
      <c r="A94" s="488" t="s">
        <v>239</v>
      </c>
      <c r="B94" s="703" t="str">
        <f t="shared" si="5"/>
        <v>J</v>
      </c>
      <c r="C94" s="658">
        <f t="shared" si="5"/>
        <v>0.13128346456692913</v>
      </c>
      <c r="D94" s="704">
        <f t="shared" si="6"/>
        <v>60</v>
      </c>
      <c r="E94" s="703">
        <f t="shared" si="7"/>
        <v>60</v>
      </c>
      <c r="H94" s="312"/>
      <c r="I94" s="312"/>
    </row>
    <row r="95" spans="1:9">
      <c r="A95" s="488" t="s">
        <v>89</v>
      </c>
      <c r="B95" s="703" t="str">
        <f t="shared" si="5"/>
        <v>K</v>
      </c>
      <c r="C95" s="658">
        <f t="shared" si="5"/>
        <v>0.25923622047244094</v>
      </c>
      <c r="D95" s="704">
        <f t="shared" si="6"/>
        <v>24</v>
      </c>
      <c r="E95" s="703">
        <f t="shared" si="7"/>
        <v>24</v>
      </c>
      <c r="H95" s="312"/>
      <c r="I95" s="312"/>
    </row>
    <row r="96" spans="1:9">
      <c r="A96" s="488" t="s">
        <v>245</v>
      </c>
      <c r="B96" s="703" t="str">
        <f t="shared" si="5"/>
        <v>Ks</v>
      </c>
      <c r="C96" s="658">
        <f t="shared" si="5"/>
        <v>0.26081102362204728</v>
      </c>
      <c r="D96" s="704">
        <f t="shared" si="6"/>
        <v>4</v>
      </c>
      <c r="E96" s="703">
        <f t="shared" si="7"/>
        <v>4</v>
      </c>
      <c r="H96" s="312"/>
      <c r="I96" s="312"/>
    </row>
    <row r="97" spans="2:5">
      <c r="B97" s="5"/>
      <c r="C97" s="11"/>
      <c r="D97" s="696">
        <f>SUM(D77:D96)</f>
        <v>2816</v>
      </c>
      <c r="E97" s="662">
        <f>SUM(E77:E96)</f>
        <v>2816</v>
      </c>
    </row>
  </sheetData>
  <pageMargins left="0.25" right="0.25" top="0.25" bottom="0.25" header="0.3" footer="0.3"/>
  <pageSetup scale="71" orientation="landscape" r:id="rId1"/>
  <rowBreaks count="1" manualBreakCount="1">
    <brk id="40" max="16383" man="1"/>
  </rowBreaks>
</worksheet>
</file>

<file path=xl/worksheets/sheet31.xml><?xml version="1.0" encoding="utf-8"?>
<worksheet xmlns="http://schemas.openxmlformats.org/spreadsheetml/2006/main" xmlns:r="http://schemas.openxmlformats.org/officeDocument/2006/relationships">
  <dimension ref="A1:I59"/>
  <sheetViews>
    <sheetView topLeftCell="A30" zoomScale="70" zoomScaleNormal="70" workbookViewId="0">
      <selection activeCell="B18" sqref="B18"/>
    </sheetView>
  </sheetViews>
  <sheetFormatPr defaultRowHeight="15"/>
  <cols>
    <col min="2" max="2" width="15.28515625" customWidth="1"/>
    <col min="3" max="3" width="18.5703125" customWidth="1"/>
    <col min="4" max="4" width="17.140625" customWidth="1"/>
    <col min="5" max="5" width="14.85546875" customWidth="1"/>
    <col min="6" max="6" width="15.42578125" customWidth="1"/>
    <col min="7" max="7" width="14.85546875" customWidth="1"/>
    <col min="8" max="8" width="14" customWidth="1"/>
    <col min="9" max="9" width="12.5703125" customWidth="1"/>
  </cols>
  <sheetData>
    <row r="1" spans="1:9" s="526" customFormat="1" ht="21">
      <c r="A1" s="526" t="s">
        <v>586</v>
      </c>
      <c r="D1" s="650">
        <v>41256</v>
      </c>
    </row>
    <row r="3" spans="1:9" s="723" customFormat="1" ht="18.75">
      <c r="A3" s="723" t="s">
        <v>587</v>
      </c>
    </row>
    <row r="4" spans="1:9" s="723" customFormat="1" ht="18.75">
      <c r="A4" s="723" t="s">
        <v>597</v>
      </c>
    </row>
    <row r="7" spans="1:9" s="723" customFormat="1" ht="18.75">
      <c r="A7" s="749" t="s">
        <v>374</v>
      </c>
      <c r="B7" s="750" t="s">
        <v>383</v>
      </c>
      <c r="C7" s="751" t="s">
        <v>588</v>
      </c>
      <c r="D7" s="751" t="s">
        <v>579</v>
      </c>
      <c r="E7" s="750" t="s">
        <v>382</v>
      </c>
      <c r="F7" s="751" t="s">
        <v>590</v>
      </c>
      <c r="G7" s="752" t="s">
        <v>372</v>
      </c>
      <c r="H7" s="751" t="s">
        <v>591</v>
      </c>
      <c r="I7" s="752" t="s">
        <v>592</v>
      </c>
    </row>
    <row r="8" spans="1:9" s="723" customFormat="1" ht="18.75">
      <c r="A8" s="753" t="s">
        <v>364</v>
      </c>
      <c r="B8" s="754" t="s">
        <v>364</v>
      </c>
      <c r="C8" s="755" t="s">
        <v>263</v>
      </c>
      <c r="D8" s="755" t="s">
        <v>589</v>
      </c>
      <c r="E8" s="754" t="s">
        <v>263</v>
      </c>
      <c r="F8" s="755" t="s">
        <v>133</v>
      </c>
      <c r="G8" s="756" t="s">
        <v>263</v>
      </c>
      <c r="H8" s="755" t="s">
        <v>133</v>
      </c>
      <c r="I8" s="756" t="s">
        <v>263</v>
      </c>
    </row>
    <row r="9" spans="1:9" s="723" customFormat="1" ht="18.75">
      <c r="A9" s="724"/>
      <c r="B9" s="725"/>
      <c r="D9" s="726"/>
      <c r="E9" s="725"/>
      <c r="H9" s="726"/>
    </row>
    <row r="10" spans="1:9" s="723" customFormat="1" ht="18.75">
      <c r="A10" s="737" t="s">
        <v>6</v>
      </c>
      <c r="B10" s="738" t="s">
        <v>6</v>
      </c>
      <c r="C10" s="739">
        <f>'Odering IV'!B49</f>
        <v>13</v>
      </c>
      <c r="D10" s="740">
        <f>'Odering IV'!D17</f>
        <v>1.3173228346456694E-2</v>
      </c>
      <c r="E10" s="741">
        <f t="shared" ref="E10:E29" si="0">C10*C39*2</f>
        <v>78</v>
      </c>
      <c r="F10" s="739">
        <f>'Ordering III'!B19</f>
        <v>2.4E-2</v>
      </c>
      <c r="G10" s="739">
        <f>C10</f>
        <v>13</v>
      </c>
      <c r="H10" s="742">
        <f>$F$12</f>
        <v>2.24E-2</v>
      </c>
      <c r="I10" s="739">
        <v>1</v>
      </c>
    </row>
    <row r="11" spans="1:9" s="723" customFormat="1" ht="18.75">
      <c r="A11" s="737" t="s">
        <v>164</v>
      </c>
      <c r="B11" s="738" t="s">
        <v>164</v>
      </c>
      <c r="C11" s="739">
        <f>'Odering IV'!B50</f>
        <v>13</v>
      </c>
      <c r="D11" s="740">
        <f>'Odering IV'!D18</f>
        <v>1.3173228346456694E-2</v>
      </c>
      <c r="E11" s="741">
        <f t="shared" si="0"/>
        <v>52</v>
      </c>
      <c r="F11" s="739">
        <f>'Ordering III'!B20</f>
        <v>2.4E-2</v>
      </c>
      <c r="G11" s="739">
        <f t="shared" ref="G11:G29" si="1">C11</f>
        <v>13</v>
      </c>
      <c r="H11" s="742">
        <f t="shared" ref="H11:H29" si="2">$F$12</f>
        <v>2.24E-2</v>
      </c>
      <c r="I11" s="739">
        <v>1</v>
      </c>
    </row>
    <row r="12" spans="1:9" s="723" customFormat="1" ht="18.75">
      <c r="A12" s="727" t="s">
        <v>9</v>
      </c>
      <c r="B12" s="728" t="s">
        <v>9</v>
      </c>
      <c r="C12" s="729">
        <f>'Odering IV'!B51</f>
        <v>12</v>
      </c>
      <c r="D12" s="730">
        <f>'Odering IV'!D19</f>
        <v>1.7503937007874018E-2</v>
      </c>
      <c r="E12" s="731">
        <f t="shared" si="0"/>
        <v>72</v>
      </c>
      <c r="F12" s="729">
        <f>'Ordering III'!B21</f>
        <v>2.24E-2</v>
      </c>
      <c r="G12" s="729">
        <f t="shared" si="1"/>
        <v>12</v>
      </c>
      <c r="H12" s="732">
        <f t="shared" si="2"/>
        <v>2.24E-2</v>
      </c>
      <c r="I12" s="729">
        <v>1</v>
      </c>
    </row>
    <row r="13" spans="1:9" s="723" customFormat="1" ht="18.75">
      <c r="A13" s="727" t="s">
        <v>165</v>
      </c>
      <c r="B13" s="728" t="s">
        <v>165</v>
      </c>
      <c r="C13" s="729">
        <f>'Odering IV'!B52</f>
        <v>12</v>
      </c>
      <c r="D13" s="730">
        <f>'Odering IV'!D20</f>
        <v>1.8291338582677168E-2</v>
      </c>
      <c r="E13" s="731">
        <f t="shared" si="0"/>
        <v>48</v>
      </c>
      <c r="F13" s="729">
        <f>'Ordering III'!B22</f>
        <v>2.24E-2</v>
      </c>
      <c r="G13" s="729">
        <f t="shared" si="1"/>
        <v>12</v>
      </c>
      <c r="H13" s="732">
        <f t="shared" si="2"/>
        <v>2.24E-2</v>
      </c>
      <c r="I13" s="729">
        <v>1</v>
      </c>
    </row>
    <row r="14" spans="1:9" s="723" customFormat="1" ht="18.75">
      <c r="A14" s="737" t="s">
        <v>11</v>
      </c>
      <c r="B14" s="738" t="s">
        <v>9</v>
      </c>
      <c r="C14" s="739">
        <f>'Odering IV'!B53</f>
        <v>11</v>
      </c>
      <c r="D14" s="740">
        <f>'Odering IV'!D21</f>
        <v>1.7503937007874018E-2</v>
      </c>
      <c r="E14" s="741">
        <f t="shared" si="0"/>
        <v>66</v>
      </c>
      <c r="F14" s="739">
        <f>'Ordering III'!B23</f>
        <v>2.6800000000000001E-2</v>
      </c>
      <c r="G14" s="739">
        <f t="shared" si="1"/>
        <v>11</v>
      </c>
      <c r="H14" s="742">
        <f t="shared" si="2"/>
        <v>2.24E-2</v>
      </c>
      <c r="I14" s="739">
        <v>1</v>
      </c>
    </row>
    <row r="15" spans="1:9" s="723" customFormat="1" ht="18.75">
      <c r="A15" s="737" t="s">
        <v>226</v>
      </c>
      <c r="B15" s="738" t="s">
        <v>165</v>
      </c>
      <c r="C15" s="739">
        <f>'Odering IV'!B54</f>
        <v>11</v>
      </c>
      <c r="D15" s="740">
        <f>'Odering IV'!D22</f>
        <v>1.8291338582677168E-2</v>
      </c>
      <c r="E15" s="741">
        <f t="shared" si="0"/>
        <v>44</v>
      </c>
      <c r="F15" s="739">
        <f>'Ordering III'!B24</f>
        <v>2.6200000000000001E-2</v>
      </c>
      <c r="G15" s="739">
        <f t="shared" si="1"/>
        <v>11</v>
      </c>
      <c r="H15" s="742">
        <f t="shared" si="2"/>
        <v>2.24E-2</v>
      </c>
      <c r="I15" s="739">
        <v>1</v>
      </c>
    </row>
    <row r="16" spans="1:9" s="723" customFormat="1" ht="18.75">
      <c r="A16" s="727" t="s">
        <v>13</v>
      </c>
      <c r="B16" s="728" t="s">
        <v>9</v>
      </c>
      <c r="C16" s="729">
        <f>'Odering IV'!B55</f>
        <v>10</v>
      </c>
      <c r="D16" s="730">
        <f>'Odering IV'!D23</f>
        <v>1.7503937007874018E-2</v>
      </c>
      <c r="E16" s="731">
        <f t="shared" si="0"/>
        <v>60</v>
      </c>
      <c r="F16" s="729">
        <f>'Ordering III'!B25</f>
        <v>3.1399999999999997E-2</v>
      </c>
      <c r="G16" s="729">
        <f t="shared" si="1"/>
        <v>10</v>
      </c>
      <c r="H16" s="732">
        <f t="shared" si="2"/>
        <v>2.24E-2</v>
      </c>
      <c r="I16" s="729">
        <v>1</v>
      </c>
    </row>
    <row r="17" spans="1:9" s="723" customFormat="1" ht="18.75">
      <c r="A17" s="737" t="s">
        <v>15</v>
      </c>
      <c r="B17" s="738" t="s">
        <v>11</v>
      </c>
      <c r="C17" s="739">
        <f>'Odering IV'!B56</f>
        <v>9</v>
      </c>
      <c r="D17" s="740">
        <f>'Odering IV'!D24</f>
        <v>2.262204724409449E-2</v>
      </c>
      <c r="E17" s="741">
        <f t="shared" si="0"/>
        <v>54</v>
      </c>
      <c r="F17" s="739">
        <f>'Ordering III'!B26</f>
        <v>3.2000000000000001E-2</v>
      </c>
      <c r="G17" s="739">
        <f t="shared" si="1"/>
        <v>9</v>
      </c>
      <c r="H17" s="742">
        <f t="shared" si="2"/>
        <v>2.24E-2</v>
      </c>
      <c r="I17" s="739">
        <v>1</v>
      </c>
    </row>
    <row r="18" spans="1:9" s="723" customFormat="1" ht="18.75">
      <c r="A18" s="727" t="s">
        <v>17</v>
      </c>
      <c r="B18" s="728" t="s">
        <v>13</v>
      </c>
      <c r="C18" s="729">
        <f>'Odering IV'!B57</f>
        <v>8</v>
      </c>
      <c r="D18" s="730">
        <f>'Odering IV'!D25</f>
        <v>2.7740157480314963E-2</v>
      </c>
      <c r="E18" s="731">
        <f t="shared" si="0"/>
        <v>48</v>
      </c>
      <c r="F18" s="729">
        <f>'Ordering III'!B27</f>
        <v>3.3700000000000001E-2</v>
      </c>
      <c r="G18" s="729">
        <f t="shared" si="1"/>
        <v>8</v>
      </c>
      <c r="H18" s="732">
        <f t="shared" si="2"/>
        <v>2.24E-2</v>
      </c>
      <c r="I18" s="729">
        <v>1</v>
      </c>
    </row>
    <row r="19" spans="1:9" s="723" customFormat="1" ht="18.75">
      <c r="A19" s="737" t="s">
        <v>19</v>
      </c>
      <c r="B19" s="738" t="s">
        <v>15</v>
      </c>
      <c r="C19" s="739">
        <f>'Odering IV'!B58</f>
        <v>7</v>
      </c>
      <c r="D19" s="740">
        <f>'Odering IV'!D26</f>
        <v>3.246456692913386E-2</v>
      </c>
      <c r="E19" s="741">
        <f t="shared" si="0"/>
        <v>42</v>
      </c>
      <c r="F19" s="739">
        <f>'Ordering III'!B28</f>
        <v>3.7900000000000003E-2</v>
      </c>
      <c r="G19" s="739">
        <f t="shared" si="1"/>
        <v>7</v>
      </c>
      <c r="H19" s="742">
        <f t="shared" si="2"/>
        <v>2.24E-2</v>
      </c>
      <c r="I19" s="739">
        <v>1</v>
      </c>
    </row>
    <row r="20" spans="1:9" s="723" customFormat="1" ht="18.75">
      <c r="A20" s="737" t="s">
        <v>168</v>
      </c>
      <c r="B20" s="738" t="s">
        <v>166</v>
      </c>
      <c r="C20" s="739">
        <f>'Odering IV'!B59</f>
        <v>7</v>
      </c>
      <c r="D20" s="740">
        <f>'Odering IV'!D27</f>
        <v>3.246456692913386E-2</v>
      </c>
      <c r="E20" s="741">
        <f t="shared" si="0"/>
        <v>28</v>
      </c>
      <c r="F20" s="739">
        <f>'Ordering III'!B29</f>
        <v>3.8300000000000001E-2</v>
      </c>
      <c r="G20" s="739">
        <f t="shared" si="1"/>
        <v>7</v>
      </c>
      <c r="H20" s="742">
        <f t="shared" si="2"/>
        <v>2.24E-2</v>
      </c>
      <c r="I20" s="739">
        <v>1</v>
      </c>
    </row>
    <row r="21" spans="1:9" s="723" customFormat="1" ht="18.75">
      <c r="A21" s="727" t="s">
        <v>21</v>
      </c>
      <c r="B21" s="728" t="s">
        <v>17</v>
      </c>
      <c r="C21" s="729">
        <f>'Odering IV'!B60</f>
        <v>6</v>
      </c>
      <c r="D21" s="730">
        <f>'Odering IV'!D28</f>
        <v>3.7976377952755908E-2</v>
      </c>
      <c r="E21" s="731">
        <f t="shared" si="0"/>
        <v>36</v>
      </c>
      <c r="F21" s="729">
        <f>'Ordering III'!B30</f>
        <v>4.48E-2</v>
      </c>
      <c r="G21" s="729">
        <f t="shared" si="1"/>
        <v>6</v>
      </c>
      <c r="H21" s="732">
        <f t="shared" si="2"/>
        <v>2.24E-2</v>
      </c>
      <c r="I21" s="729">
        <v>1</v>
      </c>
    </row>
    <row r="22" spans="1:9" s="723" customFormat="1" ht="18.75">
      <c r="A22" s="727" t="s">
        <v>243</v>
      </c>
      <c r="B22" s="728" t="s">
        <v>167</v>
      </c>
      <c r="C22" s="729">
        <f>'Odering IV'!B61</f>
        <v>6</v>
      </c>
      <c r="D22" s="730">
        <f>'Odering IV'!D29</f>
        <v>3.8370078740157486E-2</v>
      </c>
      <c r="E22" s="731">
        <f t="shared" si="0"/>
        <v>24</v>
      </c>
      <c r="F22" s="729">
        <f>'Ordering III'!B31</f>
        <v>4.48E-2</v>
      </c>
      <c r="G22" s="729">
        <f t="shared" si="1"/>
        <v>6</v>
      </c>
      <c r="H22" s="732">
        <f t="shared" si="2"/>
        <v>2.24E-2</v>
      </c>
      <c r="I22" s="729">
        <v>1</v>
      </c>
    </row>
    <row r="23" spans="1:9" s="723" customFormat="1" ht="18.75">
      <c r="A23" s="737" t="s">
        <v>22</v>
      </c>
      <c r="B23" s="738" t="s">
        <v>19</v>
      </c>
      <c r="C23" s="739">
        <f>'Odering IV'!B62</f>
        <v>5</v>
      </c>
      <c r="D23" s="740">
        <f>'Odering IV'!D30</f>
        <v>4.8212598425196852E-2</v>
      </c>
      <c r="E23" s="741">
        <f t="shared" si="0"/>
        <v>30</v>
      </c>
      <c r="F23" s="739">
        <f>'Ordering III'!B32</f>
        <v>0.05</v>
      </c>
      <c r="G23" s="739">
        <f t="shared" si="1"/>
        <v>5</v>
      </c>
      <c r="H23" s="742">
        <f t="shared" si="2"/>
        <v>2.24E-2</v>
      </c>
      <c r="I23" s="739">
        <v>1</v>
      </c>
    </row>
    <row r="24" spans="1:9" s="723" customFormat="1" ht="18.75">
      <c r="A24" s="737" t="s">
        <v>244</v>
      </c>
      <c r="B24" s="738" t="s">
        <v>168</v>
      </c>
      <c r="C24" s="739">
        <f>'Odering IV'!B63</f>
        <v>5</v>
      </c>
      <c r="D24" s="740">
        <f>'Odering IV'!D31</f>
        <v>4.8212598425196852E-2</v>
      </c>
      <c r="E24" s="741">
        <f t="shared" si="0"/>
        <v>20</v>
      </c>
      <c r="F24" s="739">
        <f>'Ordering III'!B33</f>
        <v>5.0999999999999997E-2</v>
      </c>
      <c r="G24" s="739">
        <f t="shared" si="1"/>
        <v>5</v>
      </c>
      <c r="H24" s="742">
        <f t="shared" si="2"/>
        <v>2.24E-2</v>
      </c>
      <c r="I24" s="739">
        <v>1</v>
      </c>
    </row>
    <row r="25" spans="1:9" s="723" customFormat="1" ht="18.75">
      <c r="A25" s="727" t="s">
        <v>24</v>
      </c>
      <c r="B25" s="728" t="s">
        <v>21</v>
      </c>
      <c r="C25" s="729">
        <f>'Odering IV'!B64</f>
        <v>4</v>
      </c>
      <c r="D25" s="730">
        <f>'Odering IV'!D32</f>
        <v>5.7661417322834647E-2</v>
      </c>
      <c r="E25" s="731">
        <f t="shared" si="0"/>
        <v>24</v>
      </c>
      <c r="F25" s="729">
        <f>'Ordering III'!B34</f>
        <v>6.7199999999999996E-2</v>
      </c>
      <c r="G25" s="729">
        <f t="shared" si="1"/>
        <v>4</v>
      </c>
      <c r="H25" s="732">
        <f t="shared" si="2"/>
        <v>2.24E-2</v>
      </c>
      <c r="I25" s="729">
        <v>1</v>
      </c>
    </row>
    <row r="26" spans="1:9" s="723" customFormat="1" ht="18.75">
      <c r="A26" s="737" t="s">
        <v>26</v>
      </c>
      <c r="B26" s="738" t="s">
        <v>22</v>
      </c>
      <c r="C26" s="739">
        <f>'Odering IV'!B65</f>
        <v>3</v>
      </c>
      <c r="D26" s="740">
        <f>'Odering IV'!D33</f>
        <v>7.4984251968503932E-2</v>
      </c>
      <c r="E26" s="741">
        <f t="shared" si="0"/>
        <v>18</v>
      </c>
      <c r="F26" s="739">
        <f>'Ordering III'!B35</f>
        <v>9.2299999999999993E-2</v>
      </c>
      <c r="G26" s="739">
        <f t="shared" si="1"/>
        <v>3</v>
      </c>
      <c r="H26" s="742">
        <f t="shared" si="2"/>
        <v>2.24E-2</v>
      </c>
      <c r="I26" s="739">
        <v>1</v>
      </c>
    </row>
    <row r="27" spans="1:9" s="723" customFormat="1" ht="18.75">
      <c r="A27" s="727" t="s">
        <v>239</v>
      </c>
      <c r="B27" s="728" t="s">
        <v>24</v>
      </c>
      <c r="C27" s="729">
        <f>'Odering IV'!B66</f>
        <v>2</v>
      </c>
      <c r="D27" s="730">
        <f>'Odering IV'!D34</f>
        <v>0.13128346456692913</v>
      </c>
      <c r="E27" s="731">
        <f t="shared" si="0"/>
        <v>12</v>
      </c>
      <c r="F27" s="729">
        <f>'Ordering III'!B36</f>
        <v>0.121</v>
      </c>
      <c r="G27" s="729">
        <f t="shared" si="1"/>
        <v>2</v>
      </c>
      <c r="H27" s="732">
        <f t="shared" si="2"/>
        <v>2.24E-2</v>
      </c>
      <c r="I27" s="729">
        <v>1</v>
      </c>
    </row>
    <row r="28" spans="1:9" s="723" customFormat="1" ht="18.75">
      <c r="A28" s="737" t="s">
        <v>89</v>
      </c>
      <c r="B28" s="738" t="s">
        <v>26</v>
      </c>
      <c r="C28" s="739">
        <f>'Odering IV'!B67</f>
        <v>1</v>
      </c>
      <c r="D28" s="740">
        <f>'Odering IV'!D35</f>
        <v>0.25923622047244094</v>
      </c>
      <c r="E28" s="741">
        <f t="shared" si="0"/>
        <v>6</v>
      </c>
      <c r="F28" s="739">
        <f>'Ordering III'!B37</f>
        <v>0.25</v>
      </c>
      <c r="G28" s="739">
        <f t="shared" si="1"/>
        <v>1</v>
      </c>
      <c r="H28" s="742">
        <f t="shared" si="2"/>
        <v>2.24E-2</v>
      </c>
      <c r="I28" s="739">
        <v>1</v>
      </c>
    </row>
    <row r="29" spans="1:9" s="723" customFormat="1" ht="18.75">
      <c r="A29" s="743" t="s">
        <v>245</v>
      </c>
      <c r="B29" s="744" t="s">
        <v>169</v>
      </c>
      <c r="C29" s="745">
        <f>'Odering IV'!B68</f>
        <v>1</v>
      </c>
      <c r="D29" s="746">
        <f>'Odering IV'!D36</f>
        <v>0.26081102362204728</v>
      </c>
      <c r="E29" s="747">
        <f t="shared" si="0"/>
        <v>4</v>
      </c>
      <c r="F29" s="748">
        <f>'Ordering III'!B38</f>
        <v>0.247</v>
      </c>
      <c r="G29" s="748">
        <f t="shared" si="1"/>
        <v>1</v>
      </c>
      <c r="H29" s="745">
        <f t="shared" si="2"/>
        <v>2.24E-2</v>
      </c>
      <c r="I29" s="748">
        <v>1</v>
      </c>
    </row>
    <row r="30" spans="1:9" s="723" customFormat="1" ht="18.75">
      <c r="A30" s="729"/>
      <c r="B30" s="729"/>
      <c r="C30" s="729"/>
      <c r="D30" s="729"/>
      <c r="E30" s="733"/>
      <c r="F30" s="729"/>
      <c r="G30" s="729"/>
      <c r="H30" s="729"/>
      <c r="I30" s="729"/>
    </row>
    <row r="31" spans="1:9" s="723" customFormat="1" ht="18.75"/>
    <row r="32" spans="1:9" s="723" customFormat="1" ht="18.75"/>
    <row r="33" spans="1:7" s="526" customFormat="1" ht="21">
      <c r="A33" s="526" t="s">
        <v>593</v>
      </c>
    </row>
    <row r="34" spans="1:7" s="723" customFormat="1" ht="18.75"/>
    <row r="35" spans="1:7" s="723" customFormat="1" ht="18.75"/>
    <row r="36" spans="1:7" s="723" customFormat="1" ht="18.75">
      <c r="A36" s="752" t="s">
        <v>246</v>
      </c>
      <c r="B36" s="751" t="s">
        <v>254</v>
      </c>
      <c r="C36" s="752" t="s">
        <v>367</v>
      </c>
    </row>
    <row r="37" spans="1:7" s="723" customFormat="1" ht="18.75">
      <c r="A37" s="756" t="s">
        <v>364</v>
      </c>
      <c r="B37" s="755" t="s">
        <v>266</v>
      </c>
      <c r="C37" s="756" t="s">
        <v>368</v>
      </c>
      <c r="E37" s="723" t="s">
        <v>595</v>
      </c>
      <c r="G37" s="723" t="s">
        <v>594</v>
      </c>
    </row>
    <row r="38" spans="1:7" s="723" customFormat="1" ht="18.75">
      <c r="B38" s="726"/>
      <c r="C38" s="734"/>
      <c r="E38" s="723" t="s">
        <v>596</v>
      </c>
      <c r="G38" s="723" t="s">
        <v>596</v>
      </c>
    </row>
    <row r="39" spans="1:7" s="723" customFormat="1" ht="18.75">
      <c r="A39" s="757" t="s">
        <v>6</v>
      </c>
      <c r="B39" s="742">
        <v>4</v>
      </c>
      <c r="C39" s="758">
        <v>3</v>
      </c>
    </row>
    <row r="40" spans="1:7" s="723" customFormat="1" ht="18.75">
      <c r="A40" s="757" t="s">
        <v>164</v>
      </c>
      <c r="B40" s="742">
        <v>2</v>
      </c>
      <c r="C40" s="758">
        <v>2</v>
      </c>
    </row>
    <row r="41" spans="1:7" s="723" customFormat="1" ht="18.75">
      <c r="A41" s="734" t="s">
        <v>9</v>
      </c>
      <c r="B41" s="732">
        <v>4</v>
      </c>
      <c r="C41" s="735">
        <v>3</v>
      </c>
    </row>
    <row r="42" spans="1:7" s="723" customFormat="1" ht="18.75">
      <c r="A42" s="734" t="s">
        <v>165</v>
      </c>
      <c r="B42" s="732">
        <v>2</v>
      </c>
      <c r="C42" s="736">
        <v>2</v>
      </c>
    </row>
    <row r="43" spans="1:7" s="723" customFormat="1" ht="18.75">
      <c r="A43" s="757" t="s">
        <v>11</v>
      </c>
      <c r="B43" s="742">
        <v>4</v>
      </c>
      <c r="C43" s="758">
        <v>3</v>
      </c>
    </row>
    <row r="44" spans="1:7" s="723" customFormat="1" ht="18.75">
      <c r="A44" s="757" t="s">
        <v>226</v>
      </c>
      <c r="B44" s="742">
        <v>1</v>
      </c>
      <c r="C44" s="758">
        <v>2</v>
      </c>
    </row>
    <row r="45" spans="1:7" s="723" customFormat="1" ht="18.75">
      <c r="A45" s="734" t="s">
        <v>13</v>
      </c>
      <c r="B45" s="732">
        <v>5</v>
      </c>
      <c r="C45" s="736">
        <v>3</v>
      </c>
    </row>
    <row r="46" spans="1:7" s="723" customFormat="1" ht="18.75">
      <c r="A46" s="757" t="s">
        <v>15</v>
      </c>
      <c r="B46" s="742">
        <v>5</v>
      </c>
      <c r="C46" s="758">
        <v>3</v>
      </c>
    </row>
    <row r="47" spans="1:7" s="723" customFormat="1" ht="18.75">
      <c r="A47" s="734" t="s">
        <v>17</v>
      </c>
      <c r="B47" s="732">
        <v>5</v>
      </c>
      <c r="C47" s="736">
        <v>3</v>
      </c>
    </row>
    <row r="48" spans="1:7" s="723" customFormat="1" ht="18.75">
      <c r="A48" s="757" t="s">
        <v>19</v>
      </c>
      <c r="B48" s="742">
        <v>4</v>
      </c>
      <c r="C48" s="758">
        <v>3</v>
      </c>
    </row>
    <row r="49" spans="1:5" s="723" customFormat="1" ht="18.75">
      <c r="A49" s="757" t="s">
        <v>168</v>
      </c>
      <c r="B49" s="742">
        <v>2</v>
      </c>
      <c r="C49" s="758">
        <v>2</v>
      </c>
    </row>
    <row r="50" spans="1:5" s="723" customFormat="1" ht="18.75">
      <c r="A50" s="734" t="s">
        <v>21</v>
      </c>
      <c r="B50" s="732">
        <v>4</v>
      </c>
      <c r="C50" s="736">
        <v>3</v>
      </c>
    </row>
    <row r="51" spans="1:5" s="723" customFormat="1" ht="18.75">
      <c r="A51" s="734" t="s">
        <v>243</v>
      </c>
      <c r="B51" s="732">
        <v>3</v>
      </c>
      <c r="C51" s="736">
        <v>2</v>
      </c>
      <c r="E51" s="723" t="s">
        <v>598</v>
      </c>
    </row>
    <row r="52" spans="1:5" s="723" customFormat="1" ht="18.75">
      <c r="A52" s="757" t="s">
        <v>22</v>
      </c>
      <c r="B52" s="742">
        <v>4</v>
      </c>
      <c r="C52" s="758">
        <v>3</v>
      </c>
      <c r="E52" s="723" t="s">
        <v>599</v>
      </c>
    </row>
    <row r="53" spans="1:5" s="723" customFormat="1" ht="18.75">
      <c r="A53" s="757" t="s">
        <v>244</v>
      </c>
      <c r="B53" s="742">
        <v>2</v>
      </c>
      <c r="C53" s="758">
        <v>2</v>
      </c>
      <c r="E53" s="723" t="s">
        <v>600</v>
      </c>
    </row>
    <row r="54" spans="1:5" s="723" customFormat="1" ht="18.75">
      <c r="A54" s="734" t="s">
        <v>24</v>
      </c>
      <c r="B54" s="732">
        <v>5</v>
      </c>
      <c r="C54" s="736">
        <v>3</v>
      </c>
    </row>
    <row r="55" spans="1:5" s="723" customFormat="1" ht="18.75">
      <c r="A55" s="757" t="s">
        <v>26</v>
      </c>
      <c r="B55" s="742">
        <v>5</v>
      </c>
      <c r="C55" s="758">
        <v>3</v>
      </c>
      <c r="E55" s="723" t="s">
        <v>604</v>
      </c>
    </row>
    <row r="56" spans="1:5" s="723" customFormat="1" ht="18.75">
      <c r="A56" s="734" t="s">
        <v>239</v>
      </c>
      <c r="B56" s="732">
        <v>5</v>
      </c>
      <c r="C56" s="736">
        <v>3</v>
      </c>
      <c r="E56" s="723" t="s">
        <v>601</v>
      </c>
    </row>
    <row r="57" spans="1:5" s="723" customFormat="1" ht="18.75">
      <c r="A57" s="757" t="s">
        <v>89</v>
      </c>
      <c r="B57" s="742">
        <v>4</v>
      </c>
      <c r="C57" s="758">
        <v>3</v>
      </c>
      <c r="E57" s="723" t="s">
        <v>602</v>
      </c>
    </row>
    <row r="58" spans="1:5" ht="18.75">
      <c r="A58" s="759" t="s">
        <v>245</v>
      </c>
      <c r="B58" s="745">
        <v>1</v>
      </c>
      <c r="C58" s="748">
        <v>2</v>
      </c>
      <c r="E58" s="723" t="s">
        <v>605</v>
      </c>
    </row>
    <row r="59" spans="1:5" ht="18.75">
      <c r="A59" s="723"/>
      <c r="B59" s="732">
        <f>SUM(B39:B58)</f>
        <v>71</v>
      </c>
      <c r="C59" s="729"/>
      <c r="E59" s="723" t="s">
        <v>603</v>
      </c>
    </row>
  </sheetData>
  <pageMargins left="0.25" right="0.25" top="0.25" bottom="0.25" header="0.3" footer="0.3"/>
  <pageSetup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>
  <dimension ref="A1:M25"/>
  <sheetViews>
    <sheetView tabSelected="1" workbookViewId="0">
      <selection activeCell="H2" sqref="H2"/>
    </sheetView>
  </sheetViews>
  <sheetFormatPr defaultRowHeight="15"/>
  <cols>
    <col min="2" max="2" width="10.7109375" customWidth="1"/>
    <col min="3" max="3" width="9.85546875" customWidth="1"/>
    <col min="5" max="5" width="10.140625" customWidth="1"/>
  </cols>
  <sheetData>
    <row r="1" spans="1:13">
      <c r="A1" t="s">
        <v>606</v>
      </c>
    </row>
    <row r="3" spans="1:13">
      <c r="A3" s="4" t="s">
        <v>374</v>
      </c>
      <c r="B3" s="45" t="s">
        <v>383</v>
      </c>
      <c r="C3" s="5" t="s">
        <v>580</v>
      </c>
      <c r="D3" s="367" t="s">
        <v>580</v>
      </c>
      <c r="F3" s="11" t="s">
        <v>644</v>
      </c>
      <c r="G3" s="11"/>
      <c r="H3" s="11"/>
      <c r="I3" s="11"/>
      <c r="J3" s="11"/>
      <c r="K3" s="11"/>
      <c r="L3" s="11"/>
      <c r="M3" s="11"/>
    </row>
    <row r="4" spans="1:13">
      <c r="A4" s="1" t="s">
        <v>364</v>
      </c>
      <c r="B4" s="46" t="s">
        <v>364</v>
      </c>
      <c r="C4" s="2" t="s">
        <v>425</v>
      </c>
      <c r="D4" s="2" t="s">
        <v>411</v>
      </c>
      <c r="F4" s="32" t="s">
        <v>616</v>
      </c>
      <c r="G4" s="32"/>
      <c r="H4" s="32"/>
      <c r="I4" s="32"/>
      <c r="J4" s="32"/>
      <c r="K4" s="32"/>
      <c r="L4" s="32"/>
      <c r="M4" s="32"/>
    </row>
    <row r="5" spans="1:13">
      <c r="A5" s="4"/>
      <c r="B5" s="45"/>
      <c r="C5" s="5"/>
      <c r="D5" s="5"/>
      <c r="F5" t="s">
        <v>607</v>
      </c>
    </row>
    <row r="6" spans="1:13">
      <c r="A6" s="4" t="s">
        <v>6</v>
      </c>
      <c r="B6" s="45" t="s">
        <v>6</v>
      </c>
      <c r="C6" s="5">
        <v>4</v>
      </c>
      <c r="D6" s="5">
        <v>13</v>
      </c>
      <c r="F6" t="s">
        <v>608</v>
      </c>
    </row>
    <row r="7" spans="1:13">
      <c r="A7" s="4" t="s">
        <v>164</v>
      </c>
      <c r="B7" s="45" t="s">
        <v>164</v>
      </c>
      <c r="C7" s="5">
        <v>2</v>
      </c>
      <c r="D7" s="5">
        <v>13</v>
      </c>
      <c r="F7" t="s">
        <v>609</v>
      </c>
    </row>
    <row r="8" spans="1:13">
      <c r="A8" s="4" t="s">
        <v>9</v>
      </c>
      <c r="B8" s="45" t="s">
        <v>9</v>
      </c>
      <c r="C8" s="5">
        <v>4</v>
      </c>
      <c r="D8" s="5">
        <v>12</v>
      </c>
      <c r="G8" t="s">
        <v>610</v>
      </c>
    </row>
    <row r="9" spans="1:13">
      <c r="A9" s="4" t="s">
        <v>165</v>
      </c>
      <c r="B9" s="45" t="s">
        <v>165</v>
      </c>
      <c r="C9" s="5">
        <v>2</v>
      </c>
      <c r="D9" s="5">
        <v>12</v>
      </c>
      <c r="G9" t="s">
        <v>611</v>
      </c>
    </row>
    <row r="10" spans="1:13">
      <c r="A10" s="4" t="s">
        <v>11</v>
      </c>
      <c r="B10" s="45" t="s">
        <v>9</v>
      </c>
      <c r="C10" s="5">
        <v>4</v>
      </c>
      <c r="D10" s="5">
        <v>11</v>
      </c>
      <c r="F10" t="s">
        <v>614</v>
      </c>
    </row>
    <row r="11" spans="1:13">
      <c r="A11" s="4" t="s">
        <v>226</v>
      </c>
      <c r="B11" s="45" t="s">
        <v>165</v>
      </c>
      <c r="C11" s="5">
        <v>1</v>
      </c>
      <c r="D11" s="5">
        <v>11</v>
      </c>
      <c r="F11" t="s">
        <v>612</v>
      </c>
    </row>
    <row r="12" spans="1:13">
      <c r="A12" s="4" t="s">
        <v>13</v>
      </c>
      <c r="B12" s="45" t="s">
        <v>9</v>
      </c>
      <c r="C12" s="5">
        <v>5</v>
      </c>
      <c r="D12" s="5">
        <v>10</v>
      </c>
      <c r="F12" t="s">
        <v>613</v>
      </c>
    </row>
    <row r="13" spans="1:13">
      <c r="A13" s="4" t="s">
        <v>15</v>
      </c>
      <c r="B13" s="45" t="s">
        <v>11</v>
      </c>
      <c r="C13" s="5">
        <v>5</v>
      </c>
      <c r="D13" s="5">
        <v>9</v>
      </c>
      <c r="F13" t="s">
        <v>615</v>
      </c>
    </row>
    <row r="14" spans="1:13">
      <c r="A14" s="4" t="s">
        <v>17</v>
      </c>
      <c r="B14" s="45" t="s">
        <v>13</v>
      </c>
      <c r="C14" s="5">
        <v>5</v>
      </c>
      <c r="D14" s="5">
        <v>8</v>
      </c>
    </row>
    <row r="15" spans="1:13">
      <c r="A15" s="4" t="s">
        <v>19</v>
      </c>
      <c r="B15" s="45" t="s">
        <v>15</v>
      </c>
      <c r="C15" s="5">
        <v>4</v>
      </c>
      <c r="D15" s="5">
        <v>7</v>
      </c>
      <c r="F15" s="32" t="s">
        <v>620</v>
      </c>
      <c r="G15" s="32"/>
      <c r="H15" s="32"/>
      <c r="I15" s="32"/>
      <c r="J15" s="32"/>
      <c r="K15" s="32"/>
      <c r="L15" s="32"/>
      <c r="M15" s="32"/>
    </row>
    <row r="16" spans="1:13">
      <c r="A16" s="4" t="s">
        <v>168</v>
      </c>
      <c r="B16" s="45" t="s">
        <v>166</v>
      </c>
      <c r="C16" s="5">
        <v>2</v>
      </c>
      <c r="D16" s="5">
        <v>7</v>
      </c>
      <c r="F16" s="15" t="s">
        <v>621</v>
      </c>
    </row>
    <row r="17" spans="1:6">
      <c r="A17" s="4" t="s">
        <v>21</v>
      </c>
      <c r="B17" s="45" t="s">
        <v>17</v>
      </c>
      <c r="C17" s="5">
        <v>4</v>
      </c>
      <c r="D17" s="5">
        <v>6</v>
      </c>
      <c r="F17" s="15" t="s">
        <v>622</v>
      </c>
    </row>
    <row r="18" spans="1:6">
      <c r="A18" s="4" t="s">
        <v>243</v>
      </c>
      <c r="B18" s="45" t="s">
        <v>167</v>
      </c>
      <c r="C18" s="5">
        <v>3</v>
      </c>
      <c r="D18" s="5">
        <v>6</v>
      </c>
      <c r="F18" s="15" t="s">
        <v>623</v>
      </c>
    </row>
    <row r="19" spans="1:6">
      <c r="A19" s="4" t="s">
        <v>22</v>
      </c>
      <c r="B19" s="45" t="s">
        <v>19</v>
      </c>
      <c r="C19" s="5">
        <v>4</v>
      </c>
      <c r="D19" s="5">
        <v>5</v>
      </c>
    </row>
    <row r="20" spans="1:6">
      <c r="A20" s="4" t="s">
        <v>244</v>
      </c>
      <c r="B20" s="45" t="s">
        <v>168</v>
      </c>
      <c r="C20" s="5">
        <v>2</v>
      </c>
      <c r="D20" s="5">
        <v>5</v>
      </c>
    </row>
    <row r="21" spans="1:6">
      <c r="A21" s="4" t="s">
        <v>24</v>
      </c>
      <c r="B21" s="45" t="s">
        <v>21</v>
      </c>
      <c r="C21" s="5">
        <v>5</v>
      </c>
      <c r="D21" s="5">
        <v>4</v>
      </c>
    </row>
    <row r="22" spans="1:6">
      <c r="A22" s="4" t="s">
        <v>26</v>
      </c>
      <c r="B22" s="45" t="s">
        <v>22</v>
      </c>
      <c r="C22" s="5">
        <v>5</v>
      </c>
      <c r="D22" s="5">
        <v>3</v>
      </c>
    </row>
    <row r="23" spans="1:6">
      <c r="A23" s="4" t="s">
        <v>239</v>
      </c>
      <c r="B23" s="45" t="s">
        <v>24</v>
      </c>
      <c r="C23" s="5">
        <v>5</v>
      </c>
      <c r="D23" s="5">
        <v>2</v>
      </c>
    </row>
    <row r="24" spans="1:6">
      <c r="A24" s="4" t="s">
        <v>89</v>
      </c>
      <c r="B24" s="45" t="s">
        <v>26</v>
      </c>
      <c r="C24" s="5">
        <v>4</v>
      </c>
      <c r="D24" s="5">
        <v>1</v>
      </c>
    </row>
    <row r="25" spans="1:6">
      <c r="A25" s="4" t="s">
        <v>245</v>
      </c>
      <c r="B25" s="45" t="s">
        <v>169</v>
      </c>
      <c r="C25" s="5">
        <v>1</v>
      </c>
      <c r="D25" s="5">
        <v>1</v>
      </c>
    </row>
  </sheetData>
  <pageMargins left="0.2" right="0.2" top="0.5" bottom="0.5" header="0.3" footer="0.3"/>
  <pageSetup orientation="landscape" horizontalDpi="200" verticalDpi="200" copies="0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36"/>
  <sheetViews>
    <sheetView workbookViewId="0">
      <selection activeCell="E9" sqref="E9"/>
    </sheetView>
  </sheetViews>
  <sheetFormatPr defaultRowHeight="15"/>
  <sheetData>
    <row r="1" spans="1:11">
      <c r="A1" t="s">
        <v>619</v>
      </c>
    </row>
    <row r="3" spans="1:11">
      <c r="A3" s="32" t="s">
        <v>624</v>
      </c>
      <c r="B3" s="32"/>
      <c r="C3" s="32"/>
      <c r="D3" s="32"/>
      <c r="H3" s="32" t="s">
        <v>626</v>
      </c>
      <c r="I3" s="32"/>
      <c r="J3" s="32"/>
      <c r="K3" s="32"/>
    </row>
    <row r="4" spans="1:11">
      <c r="A4" s="700" t="s">
        <v>618</v>
      </c>
      <c r="B4" s="700" t="s">
        <v>383</v>
      </c>
      <c r="C4" s="700" t="s">
        <v>133</v>
      </c>
      <c r="D4" s="700" t="s">
        <v>178</v>
      </c>
      <c r="H4" s="700" t="s">
        <v>618</v>
      </c>
      <c r="I4" s="700" t="s">
        <v>383</v>
      </c>
      <c r="J4" s="700" t="s">
        <v>133</v>
      </c>
      <c r="K4" s="700" t="s">
        <v>178</v>
      </c>
    </row>
    <row r="5" spans="1:11">
      <c r="A5" s="342" t="s">
        <v>617</v>
      </c>
      <c r="B5" s="342" t="s">
        <v>617</v>
      </c>
      <c r="C5" s="342" t="s">
        <v>113</v>
      </c>
      <c r="D5" s="342"/>
      <c r="H5" s="342" t="s">
        <v>617</v>
      </c>
      <c r="I5" s="342" t="s">
        <v>617</v>
      </c>
      <c r="J5" s="342" t="s">
        <v>113</v>
      </c>
      <c r="K5" s="342"/>
    </row>
    <row r="6" spans="1:11">
      <c r="A6" s="699">
        <v>1</v>
      </c>
      <c r="B6" s="699"/>
      <c r="C6" s="699"/>
      <c r="D6" s="699"/>
      <c r="H6" s="699">
        <v>1</v>
      </c>
      <c r="I6" s="699"/>
      <c r="J6" s="699"/>
      <c r="K6" s="699"/>
    </row>
    <row r="7" spans="1:11">
      <c r="A7" s="699">
        <v>2</v>
      </c>
      <c r="B7" s="699"/>
      <c r="C7" s="699"/>
      <c r="D7" s="699"/>
      <c r="H7" s="699">
        <v>2</v>
      </c>
      <c r="I7" s="699"/>
      <c r="J7" s="699"/>
      <c r="K7" s="699"/>
    </row>
    <row r="8" spans="1:11">
      <c r="A8" s="699">
        <v>3</v>
      </c>
      <c r="B8" s="699"/>
      <c r="C8" s="699"/>
      <c r="D8" s="699"/>
      <c r="H8" s="699">
        <v>3</v>
      </c>
      <c r="I8" s="699"/>
      <c r="J8" s="699"/>
      <c r="K8" s="699"/>
    </row>
    <row r="9" spans="1:11">
      <c r="A9" s="699">
        <v>4</v>
      </c>
      <c r="B9" s="699"/>
      <c r="C9" s="699"/>
      <c r="D9" s="699"/>
      <c r="H9" s="699">
        <v>4</v>
      </c>
      <c r="I9" s="699"/>
      <c r="J9" s="699"/>
      <c r="K9" s="699"/>
    </row>
    <row r="10" spans="1:11">
      <c r="A10" s="699">
        <v>5</v>
      </c>
      <c r="B10" s="699"/>
      <c r="C10" s="699"/>
      <c r="D10" s="699"/>
      <c r="H10" s="699">
        <v>5</v>
      </c>
      <c r="I10" s="699"/>
      <c r="J10" s="699"/>
      <c r="K10" s="699"/>
    </row>
    <row r="11" spans="1:11">
      <c r="A11" s="699">
        <v>6</v>
      </c>
      <c r="B11" s="699"/>
      <c r="C11" s="699"/>
      <c r="D11" s="699"/>
      <c r="H11" s="699">
        <v>6</v>
      </c>
      <c r="I11" s="699"/>
      <c r="J11" s="699"/>
      <c r="K11" s="699"/>
    </row>
    <row r="12" spans="1:11">
      <c r="A12" s="699">
        <v>7</v>
      </c>
      <c r="B12" s="699"/>
      <c r="C12" s="699"/>
      <c r="D12" s="699"/>
      <c r="H12" s="699">
        <v>7</v>
      </c>
      <c r="I12" s="699"/>
      <c r="J12" s="699"/>
      <c r="K12" s="699"/>
    </row>
    <row r="13" spans="1:11">
      <c r="A13" s="699">
        <f>A12+1</f>
        <v>8</v>
      </c>
      <c r="B13" s="699"/>
      <c r="C13" s="699"/>
      <c r="D13" s="699"/>
      <c r="H13" s="699">
        <f>H12+1</f>
        <v>8</v>
      </c>
      <c r="I13" s="699"/>
      <c r="J13" s="699"/>
      <c r="K13" s="699"/>
    </row>
    <row r="14" spans="1:11">
      <c r="A14" s="699">
        <f t="shared" ref="A14:A18" si="0">A13+1</f>
        <v>9</v>
      </c>
      <c r="B14" s="699"/>
      <c r="C14" s="699"/>
      <c r="D14" s="699"/>
      <c r="H14" s="699">
        <f t="shared" ref="H14:H18" si="1">H13+1</f>
        <v>9</v>
      </c>
      <c r="I14" s="699"/>
      <c r="J14" s="699"/>
      <c r="K14" s="699"/>
    </row>
    <row r="15" spans="1:11">
      <c r="A15" s="699">
        <f t="shared" si="0"/>
        <v>10</v>
      </c>
      <c r="B15" s="699"/>
      <c r="C15" s="699"/>
      <c r="D15" s="699"/>
      <c r="H15" s="699">
        <f t="shared" si="1"/>
        <v>10</v>
      </c>
      <c r="I15" s="699"/>
      <c r="J15" s="699"/>
      <c r="K15" s="699"/>
    </row>
    <row r="16" spans="1:11">
      <c r="A16" s="699">
        <f t="shared" si="0"/>
        <v>11</v>
      </c>
      <c r="B16" s="699"/>
      <c r="C16" s="699"/>
      <c r="D16" s="699"/>
      <c r="H16" s="699">
        <f t="shared" si="1"/>
        <v>11</v>
      </c>
      <c r="I16" s="699"/>
      <c r="J16" s="699"/>
      <c r="K16" s="699"/>
    </row>
    <row r="17" spans="1:11">
      <c r="A17" s="699">
        <f t="shared" si="0"/>
        <v>12</v>
      </c>
      <c r="B17" s="699"/>
      <c r="C17" s="699"/>
      <c r="D17" s="699"/>
      <c r="H17" s="699">
        <f t="shared" si="1"/>
        <v>12</v>
      </c>
      <c r="I17" s="699"/>
      <c r="J17" s="699"/>
      <c r="K17" s="699"/>
    </row>
    <row r="18" spans="1:11">
      <c r="A18" s="699">
        <f t="shared" si="0"/>
        <v>13</v>
      </c>
      <c r="B18" s="699"/>
      <c r="C18" s="699"/>
      <c r="D18" s="699"/>
      <c r="H18" s="699">
        <f t="shared" si="1"/>
        <v>13</v>
      </c>
      <c r="I18" s="699"/>
      <c r="J18" s="699"/>
      <c r="K18" s="699"/>
    </row>
    <row r="21" spans="1:11">
      <c r="A21" s="32" t="s">
        <v>625</v>
      </c>
      <c r="B21" s="32"/>
      <c r="C21" s="32"/>
      <c r="D21" s="32"/>
      <c r="H21" s="32" t="s">
        <v>627</v>
      </c>
      <c r="I21" s="32"/>
      <c r="J21" s="32"/>
      <c r="K21" s="32"/>
    </row>
    <row r="22" spans="1:11">
      <c r="A22" s="700" t="s">
        <v>618</v>
      </c>
      <c r="B22" s="700" t="s">
        <v>383</v>
      </c>
      <c r="C22" s="700" t="s">
        <v>133</v>
      </c>
      <c r="D22" s="700" t="s">
        <v>178</v>
      </c>
      <c r="H22" s="700" t="s">
        <v>618</v>
      </c>
      <c r="I22" s="700" t="s">
        <v>383</v>
      </c>
      <c r="J22" s="700" t="s">
        <v>133</v>
      </c>
      <c r="K22" s="700" t="s">
        <v>178</v>
      </c>
    </row>
    <row r="23" spans="1:11">
      <c r="A23" s="342" t="s">
        <v>617</v>
      </c>
      <c r="B23" s="342" t="s">
        <v>617</v>
      </c>
      <c r="C23" s="342" t="s">
        <v>113</v>
      </c>
      <c r="D23" s="342"/>
      <c r="H23" s="342" t="s">
        <v>617</v>
      </c>
      <c r="I23" s="342" t="s">
        <v>617</v>
      </c>
      <c r="J23" s="342" t="s">
        <v>113</v>
      </c>
      <c r="K23" s="342"/>
    </row>
    <row r="24" spans="1:11">
      <c r="A24" s="699">
        <v>1</v>
      </c>
      <c r="B24" s="699"/>
      <c r="C24" s="699"/>
      <c r="D24" s="699"/>
      <c r="H24" s="699">
        <v>1</v>
      </c>
      <c r="I24" s="699"/>
      <c r="J24" s="699"/>
      <c r="K24" s="699"/>
    </row>
    <row r="25" spans="1:11">
      <c r="A25" s="699">
        <v>2</v>
      </c>
      <c r="B25" s="699"/>
      <c r="C25" s="699"/>
      <c r="D25" s="699"/>
      <c r="H25" s="699">
        <v>2</v>
      </c>
      <c r="I25" s="699"/>
      <c r="J25" s="699"/>
      <c r="K25" s="699"/>
    </row>
    <row r="26" spans="1:11">
      <c r="A26" s="699">
        <v>3</v>
      </c>
      <c r="B26" s="699"/>
      <c r="C26" s="699"/>
      <c r="D26" s="699"/>
      <c r="H26" s="699">
        <v>3</v>
      </c>
      <c r="I26" s="699"/>
      <c r="J26" s="699"/>
      <c r="K26" s="699"/>
    </row>
    <row r="27" spans="1:11">
      <c r="A27" s="699">
        <v>4</v>
      </c>
      <c r="B27" s="699"/>
      <c r="C27" s="699"/>
      <c r="D27" s="699"/>
      <c r="H27" s="699">
        <v>4</v>
      </c>
      <c r="I27" s="699"/>
      <c r="J27" s="699"/>
      <c r="K27" s="699"/>
    </row>
    <row r="28" spans="1:11">
      <c r="A28" s="699">
        <v>5</v>
      </c>
      <c r="B28" s="699"/>
      <c r="C28" s="699"/>
      <c r="D28" s="699"/>
      <c r="H28" s="699">
        <v>5</v>
      </c>
      <c r="I28" s="699"/>
      <c r="J28" s="699"/>
      <c r="K28" s="699"/>
    </row>
    <row r="29" spans="1:11">
      <c r="A29" s="699">
        <v>6</v>
      </c>
      <c r="B29" s="699"/>
      <c r="C29" s="699"/>
      <c r="D29" s="699"/>
      <c r="H29" s="699">
        <v>6</v>
      </c>
      <c r="I29" s="699"/>
      <c r="J29" s="699"/>
      <c r="K29" s="699"/>
    </row>
    <row r="30" spans="1:11">
      <c r="A30" s="699">
        <v>7</v>
      </c>
      <c r="B30" s="699"/>
      <c r="C30" s="699"/>
      <c r="D30" s="699"/>
      <c r="H30" s="699">
        <v>7</v>
      </c>
      <c r="I30" s="699"/>
      <c r="J30" s="699"/>
      <c r="K30" s="699"/>
    </row>
    <row r="31" spans="1:11">
      <c r="A31" s="699">
        <f>A30+1</f>
        <v>8</v>
      </c>
      <c r="B31" s="699"/>
      <c r="C31" s="699"/>
      <c r="D31" s="699"/>
      <c r="H31" s="699">
        <f>H30+1</f>
        <v>8</v>
      </c>
      <c r="I31" s="699"/>
      <c r="J31" s="699"/>
      <c r="K31" s="699"/>
    </row>
    <row r="32" spans="1:11">
      <c r="A32" s="699">
        <f t="shared" ref="A32:A36" si="2">A31+1</f>
        <v>9</v>
      </c>
      <c r="B32" s="699"/>
      <c r="C32" s="699"/>
      <c r="D32" s="699"/>
      <c r="H32" s="699">
        <f t="shared" ref="H32:H36" si="3">H31+1</f>
        <v>9</v>
      </c>
      <c r="I32" s="699"/>
      <c r="J32" s="699"/>
      <c r="K32" s="699"/>
    </row>
    <row r="33" spans="1:11">
      <c r="A33" s="699">
        <f t="shared" si="2"/>
        <v>10</v>
      </c>
      <c r="B33" s="699"/>
      <c r="C33" s="699"/>
      <c r="D33" s="699"/>
      <c r="H33" s="699">
        <f t="shared" si="3"/>
        <v>10</v>
      </c>
      <c r="I33" s="699"/>
      <c r="J33" s="699"/>
      <c r="K33" s="699"/>
    </row>
    <row r="34" spans="1:11">
      <c r="A34" s="699">
        <f t="shared" si="2"/>
        <v>11</v>
      </c>
      <c r="B34" s="699"/>
      <c r="C34" s="699"/>
      <c r="D34" s="699"/>
      <c r="H34" s="699">
        <f t="shared" si="3"/>
        <v>11</v>
      </c>
      <c r="I34" s="699"/>
      <c r="J34" s="699"/>
      <c r="K34" s="699"/>
    </row>
    <row r="35" spans="1:11">
      <c r="A35" s="699">
        <f t="shared" si="2"/>
        <v>12</v>
      </c>
      <c r="B35" s="699"/>
      <c r="C35" s="699"/>
      <c r="D35" s="699"/>
      <c r="H35" s="699">
        <f t="shared" si="3"/>
        <v>12</v>
      </c>
      <c r="I35" s="699"/>
      <c r="J35" s="699"/>
      <c r="K35" s="699"/>
    </row>
    <row r="36" spans="1:11">
      <c r="A36" s="699">
        <f t="shared" si="2"/>
        <v>13</v>
      </c>
      <c r="B36" s="699"/>
      <c r="C36" s="699"/>
      <c r="D36" s="699"/>
      <c r="H36" s="699">
        <f t="shared" si="3"/>
        <v>13</v>
      </c>
      <c r="I36" s="699"/>
      <c r="J36" s="699"/>
      <c r="K36" s="699"/>
    </row>
  </sheetData>
  <pageMargins left="0.2" right="0.2" top="0.5" bottom="0.5" header="0.3" footer="0.3"/>
  <pageSetup orientation="landscape" horizontalDpi="200" verticalDpi="200" copies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77"/>
  <sheetViews>
    <sheetView topLeftCell="A8" zoomScale="80" zoomScaleNormal="80" zoomScaleSheetLayoutView="70" workbookViewId="0">
      <selection activeCell="W16" sqref="W16"/>
    </sheetView>
  </sheetViews>
  <sheetFormatPr defaultRowHeight="15"/>
  <cols>
    <col min="1" max="1" width="11.5703125" bestFit="1" customWidth="1"/>
    <col min="2" max="2" width="11.140625" bestFit="1" customWidth="1"/>
    <col min="3" max="3" width="7.85546875" customWidth="1"/>
    <col min="4" max="4" width="5" customWidth="1"/>
    <col min="5" max="5" width="7.28515625" customWidth="1"/>
    <col min="6" max="7" width="5.7109375" customWidth="1"/>
    <col min="8" max="10" width="2.5703125" customWidth="1"/>
    <col min="11" max="12" width="6.85546875" customWidth="1"/>
    <col min="13" max="14" width="3.140625" customWidth="1"/>
    <col min="15" max="16" width="2.5703125" customWidth="1"/>
    <col min="17" max="17" width="10.7109375" bestFit="1" customWidth="1"/>
    <col min="18" max="18" width="7.85546875" customWidth="1"/>
    <col min="19" max="19" width="8.7109375" customWidth="1"/>
    <col min="20" max="20" width="8.28515625" customWidth="1"/>
    <col min="21" max="21" width="10" bestFit="1" customWidth="1"/>
    <col min="22" max="22" width="10" customWidth="1"/>
  </cols>
  <sheetData>
    <row r="1" spans="1:27">
      <c r="A1" s="761" t="s">
        <v>0</v>
      </c>
      <c r="B1" s="761"/>
      <c r="C1" s="8"/>
      <c r="D1" s="8"/>
      <c r="E1" s="9"/>
      <c r="F1" s="9"/>
      <c r="G1" s="9"/>
      <c r="H1" s="9"/>
      <c r="I1" s="9"/>
      <c r="J1" s="9"/>
      <c r="K1" s="8"/>
      <c r="L1" s="8"/>
      <c r="N1" s="8"/>
      <c r="O1" s="8"/>
      <c r="P1" s="8"/>
      <c r="R1" s="10"/>
      <c r="S1" s="10"/>
      <c r="T1" s="10"/>
    </row>
    <row r="2" spans="1:27">
      <c r="A2" s="761" t="s">
        <v>1</v>
      </c>
      <c r="B2" s="761"/>
      <c r="C2" s="8"/>
      <c r="D2" s="8"/>
      <c r="E2" s="9"/>
      <c r="F2" s="9"/>
      <c r="G2" s="9"/>
      <c r="H2" s="9"/>
      <c r="I2" s="9"/>
      <c r="J2" s="9"/>
      <c r="K2" s="8"/>
      <c r="L2" s="8"/>
      <c r="N2" s="8"/>
      <c r="O2" s="8"/>
      <c r="P2" s="8"/>
      <c r="R2" s="10"/>
      <c r="S2" s="10"/>
      <c r="T2" s="10"/>
    </row>
    <row r="3" spans="1:27">
      <c r="A3" s="761" t="s">
        <v>58</v>
      </c>
      <c r="B3" s="761"/>
      <c r="C3" s="8"/>
      <c r="D3" s="8"/>
      <c r="E3" s="9"/>
      <c r="F3" s="9"/>
      <c r="G3" s="9"/>
      <c r="H3" s="9"/>
      <c r="I3" s="9"/>
      <c r="J3" s="9"/>
      <c r="K3" s="8"/>
      <c r="L3" s="8"/>
      <c r="N3" s="8"/>
      <c r="O3" s="8"/>
      <c r="P3" s="8"/>
      <c r="R3" s="10"/>
      <c r="S3" s="10"/>
      <c r="T3" s="10"/>
    </row>
    <row r="4" spans="1:27">
      <c r="B4" s="8"/>
      <c r="C4" s="8"/>
      <c r="D4" s="8"/>
      <c r="E4" s="9"/>
      <c r="F4" s="9"/>
      <c r="G4" s="9"/>
      <c r="H4" s="9"/>
      <c r="I4" s="9"/>
      <c r="J4" s="9"/>
      <c r="K4" s="8"/>
      <c r="L4" s="8"/>
      <c r="N4" s="8"/>
      <c r="O4" s="8"/>
      <c r="P4" s="8"/>
      <c r="R4" s="10"/>
      <c r="S4" s="10"/>
      <c r="T4" s="10"/>
    </row>
    <row r="5" spans="1:27">
      <c r="B5" s="8" t="s">
        <v>112</v>
      </c>
      <c r="C5" s="8" t="s">
        <v>113</v>
      </c>
      <c r="D5" s="8"/>
      <c r="E5" s="9"/>
      <c r="F5" s="9"/>
      <c r="G5" s="9"/>
      <c r="H5" s="9"/>
      <c r="I5" s="9"/>
      <c r="J5" s="9"/>
      <c r="K5" s="8"/>
      <c r="L5" s="8"/>
      <c r="N5" s="8"/>
      <c r="O5" s="8"/>
      <c r="P5" s="8"/>
      <c r="R5" s="10"/>
      <c r="S5" s="10"/>
      <c r="T5" s="10"/>
    </row>
    <row r="6" spans="1:27">
      <c r="A6" t="s">
        <v>59</v>
      </c>
      <c r="B6" s="8">
        <v>1.4999999999999999E-2</v>
      </c>
      <c r="C6" s="8">
        <f>B6*25.4</f>
        <v>0.38099999999999995</v>
      </c>
      <c r="D6" s="8"/>
      <c r="E6" s="9"/>
      <c r="F6" s="9"/>
      <c r="G6" s="9"/>
      <c r="H6" s="9"/>
      <c r="I6" s="9"/>
      <c r="J6" s="9"/>
      <c r="K6" s="8"/>
      <c r="L6" s="8"/>
      <c r="N6" s="8"/>
      <c r="O6" s="8"/>
      <c r="P6" s="8"/>
      <c r="R6" s="10"/>
      <c r="S6" s="10"/>
      <c r="T6" s="10"/>
    </row>
    <row r="7" spans="1:27">
      <c r="B7" s="8"/>
      <c r="C7" s="8"/>
      <c r="D7" s="8"/>
      <c r="E7" s="9"/>
      <c r="F7" s="9"/>
      <c r="G7" s="9"/>
      <c r="H7" s="9"/>
      <c r="I7" s="9"/>
      <c r="J7" s="9"/>
      <c r="K7" s="8"/>
      <c r="L7" s="8"/>
      <c r="N7" s="8"/>
      <c r="O7" s="8"/>
      <c r="P7" s="8"/>
      <c r="R7" s="10"/>
      <c r="S7" s="10"/>
      <c r="T7" s="10"/>
    </row>
    <row r="8" spans="1:27">
      <c r="A8" s="3" t="s">
        <v>115</v>
      </c>
      <c r="B8" s="8"/>
      <c r="C8" s="8"/>
      <c r="D8" s="8"/>
      <c r="E8" s="9"/>
      <c r="F8" s="9"/>
      <c r="G8" s="9"/>
      <c r="H8" s="9"/>
      <c r="I8" s="9"/>
      <c r="J8" s="9"/>
      <c r="K8" s="8"/>
      <c r="L8" s="8"/>
      <c r="N8" s="8"/>
      <c r="O8" s="8"/>
      <c r="P8" s="8"/>
      <c r="R8" s="10"/>
      <c r="S8" s="10"/>
      <c r="T8" s="38"/>
      <c r="X8" s="3" t="s">
        <v>157</v>
      </c>
    </row>
    <row r="9" spans="1:27" ht="45" customHeight="1">
      <c r="A9" s="32" t="s">
        <v>216</v>
      </c>
      <c r="B9" s="34" t="s">
        <v>60</v>
      </c>
      <c r="C9" s="771" t="s">
        <v>61</v>
      </c>
      <c r="D9" s="772"/>
      <c r="E9" s="773" t="s">
        <v>62</v>
      </c>
      <c r="F9" s="773"/>
      <c r="G9" s="773"/>
      <c r="H9" s="773"/>
      <c r="I9" s="773"/>
      <c r="J9" s="33"/>
      <c r="K9" s="771" t="s">
        <v>63</v>
      </c>
      <c r="L9" s="772"/>
      <c r="M9" s="774" t="s">
        <v>64</v>
      </c>
      <c r="N9" s="774"/>
      <c r="O9" s="774"/>
      <c r="P9" s="774"/>
      <c r="Q9" s="1" t="s">
        <v>97</v>
      </c>
      <c r="R9" s="36" t="s">
        <v>65</v>
      </c>
      <c r="S9" s="42" t="s">
        <v>109</v>
      </c>
      <c r="T9" s="32" t="s">
        <v>101</v>
      </c>
      <c r="U9" s="32"/>
      <c r="V9" s="32"/>
      <c r="W9" s="32" t="s">
        <v>216</v>
      </c>
      <c r="X9" s="43" t="s">
        <v>145</v>
      </c>
      <c r="Y9" s="99" t="s">
        <v>155</v>
      </c>
      <c r="Z9" s="32" t="s">
        <v>196</v>
      </c>
      <c r="AA9" s="308" t="s">
        <v>223</v>
      </c>
    </row>
    <row r="10" spans="1:27" s="26" customFormat="1">
      <c r="A10" s="229"/>
      <c r="B10" s="157"/>
      <c r="C10" s="156">
        <v>1</v>
      </c>
      <c r="D10" s="157">
        <v>2</v>
      </c>
      <c r="E10" s="156">
        <v>1</v>
      </c>
      <c r="F10" s="232">
        <v>2</v>
      </c>
      <c r="G10" s="232">
        <v>3</v>
      </c>
      <c r="H10" s="232">
        <v>4</v>
      </c>
      <c r="I10" s="232">
        <v>5</v>
      </c>
      <c r="J10" s="157">
        <v>6</v>
      </c>
      <c r="K10" s="156">
        <v>1</v>
      </c>
      <c r="L10" s="157">
        <v>2</v>
      </c>
      <c r="M10" s="156">
        <v>1</v>
      </c>
      <c r="N10" s="232">
        <v>2</v>
      </c>
      <c r="O10" s="232">
        <v>3</v>
      </c>
      <c r="P10" s="239">
        <v>4</v>
      </c>
      <c r="Q10" s="240"/>
      <c r="R10" s="244"/>
      <c r="S10" s="240"/>
      <c r="T10" s="121"/>
      <c r="U10" s="121"/>
      <c r="V10" s="121"/>
      <c r="W10" s="229"/>
      <c r="X10" s="245"/>
      <c r="Y10" s="245"/>
      <c r="Z10" s="245"/>
      <c r="AA10" s="41"/>
    </row>
    <row r="11" spans="1:27">
      <c r="A11" s="66"/>
      <c r="B11" s="140"/>
      <c r="C11" s="139"/>
      <c r="D11" s="140"/>
      <c r="E11" s="139"/>
      <c r="F11" s="66"/>
      <c r="G11" s="66"/>
      <c r="H11" s="66"/>
      <c r="I11" s="66"/>
      <c r="J11" s="140"/>
      <c r="K11" s="139"/>
      <c r="L11" s="140"/>
      <c r="M11" s="139"/>
      <c r="N11" s="61"/>
      <c r="O11" s="61"/>
      <c r="P11" s="61"/>
      <c r="Q11" s="140"/>
      <c r="R11" s="145"/>
      <c r="S11" s="141"/>
      <c r="T11" s="57"/>
      <c r="U11" s="57"/>
      <c r="V11" s="57"/>
      <c r="W11" s="66"/>
      <c r="X11" s="142"/>
      <c r="Y11" s="143"/>
      <c r="Z11" s="143"/>
      <c r="AA11" s="4"/>
    </row>
    <row r="12" spans="1:27">
      <c r="A12" s="66">
        <v>55</v>
      </c>
      <c r="B12" s="84"/>
      <c r="C12" s="81">
        <v>102</v>
      </c>
      <c r="D12" s="77">
        <v>102</v>
      </c>
      <c r="E12" s="233">
        <v>0.38</v>
      </c>
      <c r="F12" s="71">
        <v>0.39</v>
      </c>
      <c r="G12" s="71">
        <v>0.39</v>
      </c>
      <c r="H12" s="71"/>
      <c r="I12" s="71"/>
      <c r="J12" s="234"/>
      <c r="K12" s="85">
        <v>26.13</v>
      </c>
      <c r="L12" s="144">
        <v>26.25</v>
      </c>
      <c r="M12" s="241"/>
      <c r="N12" s="67" t="s">
        <v>89</v>
      </c>
      <c r="O12" s="67"/>
      <c r="P12" s="75"/>
      <c r="Q12" s="77" t="s">
        <v>94</v>
      </c>
      <c r="R12" s="145">
        <v>14.3</v>
      </c>
      <c r="S12" s="64">
        <f t="shared" ref="S12:S40" si="0">R12/(AVERAGE(C12:D12)*AVERAGE(E12:J12)*AVERAGE(K12:L12)*0.001)</f>
        <v>13.84406509769844</v>
      </c>
      <c r="T12" s="57">
        <v>3</v>
      </c>
      <c r="U12" s="57"/>
      <c r="V12" s="57"/>
      <c r="W12" s="66">
        <v>55</v>
      </c>
      <c r="X12" s="143">
        <f t="shared" ref="X12:X40" si="1">IF(OR(ABS(E12-$C$6)&gt;($C$6*0.1),ABS(F12-$C$6)&gt;($C$6*0.1),ABS(G12-$C$6)&gt;($C$6*0.1)),1,0)</f>
        <v>0</v>
      </c>
      <c r="Y12" s="143">
        <f>IF(OR(K12&gt;Cuts!$B$16, L12&gt;Cuts!B$16), 1,0)</f>
        <v>0</v>
      </c>
      <c r="Z12" s="246">
        <f>IF(OR(C12&gt;Cuts!$D$16, D12&gt;Cuts!$D$16),1,0)</f>
        <v>0</v>
      </c>
      <c r="AA12" s="304">
        <f t="shared" ref="AA12:AA40" si="2">IF(OR(M12="Y",N12="Y",O12="Y",P12="Y"),1,0)</f>
        <v>0</v>
      </c>
    </row>
    <row r="13" spans="1:27">
      <c r="A13" s="66">
        <v>56</v>
      </c>
      <c r="B13" s="84"/>
      <c r="C13" s="81">
        <v>102</v>
      </c>
      <c r="D13" s="77">
        <v>102</v>
      </c>
      <c r="E13" s="233">
        <v>0.39</v>
      </c>
      <c r="F13" s="71">
        <v>0.39</v>
      </c>
      <c r="G13" s="71">
        <v>0.39</v>
      </c>
      <c r="H13" s="71"/>
      <c r="I13" s="71"/>
      <c r="J13" s="234"/>
      <c r="K13" s="85">
        <v>26.21</v>
      </c>
      <c r="L13" s="144">
        <v>26.25</v>
      </c>
      <c r="M13" s="74" t="s">
        <v>89</v>
      </c>
      <c r="N13" s="67" t="s">
        <v>89</v>
      </c>
      <c r="O13" s="67"/>
      <c r="P13" s="75"/>
      <c r="Q13" s="77"/>
      <c r="R13" s="145">
        <v>14.3</v>
      </c>
      <c r="S13" s="64">
        <f t="shared" si="0"/>
        <v>13.704808394319734</v>
      </c>
      <c r="T13" s="57">
        <v>3</v>
      </c>
      <c r="U13" s="57"/>
      <c r="V13" s="57"/>
      <c r="W13" s="66">
        <v>56</v>
      </c>
      <c r="X13" s="143">
        <f t="shared" si="1"/>
        <v>0</v>
      </c>
      <c r="Y13" s="143">
        <f>IF(OR(K13&gt;Cuts!$B$16, L13&gt;Cuts!B$16), 1,0)</f>
        <v>0</v>
      </c>
      <c r="Z13" s="246">
        <f>IF(OR(C13&gt;Cuts!$D$16, D13&gt;Cuts!$D$16),1,0)</f>
        <v>0</v>
      </c>
      <c r="AA13" s="304">
        <f t="shared" si="2"/>
        <v>0</v>
      </c>
    </row>
    <row r="14" spans="1:27">
      <c r="A14" s="66">
        <v>57</v>
      </c>
      <c r="B14" s="84"/>
      <c r="C14" s="81">
        <v>102</v>
      </c>
      <c r="D14" s="77">
        <v>102</v>
      </c>
      <c r="E14" s="233">
        <v>0.39</v>
      </c>
      <c r="F14" s="71">
        <v>0.39</v>
      </c>
      <c r="G14" s="71">
        <v>0.39</v>
      </c>
      <c r="H14" s="71"/>
      <c r="I14" s="71"/>
      <c r="J14" s="234"/>
      <c r="K14" s="85">
        <v>26.29</v>
      </c>
      <c r="L14" s="144">
        <v>26.11</v>
      </c>
      <c r="M14" s="74" t="s">
        <v>89</v>
      </c>
      <c r="N14" s="67" t="s">
        <v>89</v>
      </c>
      <c r="O14" s="67"/>
      <c r="P14" s="75"/>
      <c r="Q14" s="76"/>
      <c r="R14" s="145">
        <v>14.1</v>
      </c>
      <c r="S14" s="64">
        <f t="shared" si="0"/>
        <v>13.528605805211104</v>
      </c>
      <c r="T14" s="57">
        <v>3</v>
      </c>
      <c r="U14" s="57"/>
      <c r="V14" s="57"/>
      <c r="W14" s="66">
        <v>57</v>
      </c>
      <c r="X14" s="143">
        <f t="shared" si="1"/>
        <v>0</v>
      </c>
      <c r="Y14" s="143">
        <f>IF(OR(K14&gt;Cuts!$B$16, L14&gt;Cuts!B$16), 1,0)</f>
        <v>0</v>
      </c>
      <c r="Z14" s="246">
        <f>IF(OR(C14&gt;Cuts!$D$16, D14&gt;Cuts!$D$16),1,0)</f>
        <v>0</v>
      </c>
      <c r="AA14" s="304">
        <f t="shared" si="2"/>
        <v>0</v>
      </c>
    </row>
    <row r="15" spans="1:27">
      <c r="A15" s="66">
        <v>58</v>
      </c>
      <c r="B15" s="84"/>
      <c r="C15" s="81">
        <v>102</v>
      </c>
      <c r="D15" s="77">
        <v>102</v>
      </c>
      <c r="E15" s="233">
        <v>0.39</v>
      </c>
      <c r="F15" s="71">
        <v>0.39</v>
      </c>
      <c r="G15" s="71">
        <v>0.39</v>
      </c>
      <c r="H15" s="71"/>
      <c r="I15" s="71"/>
      <c r="J15" s="234"/>
      <c r="K15" s="85">
        <v>26.15</v>
      </c>
      <c r="L15" s="144">
        <v>26.25</v>
      </c>
      <c r="M15" s="74"/>
      <c r="N15" s="67"/>
      <c r="O15" s="67"/>
      <c r="P15" s="75"/>
      <c r="Q15" s="76"/>
      <c r="R15" s="145">
        <v>14.2</v>
      </c>
      <c r="S15" s="64">
        <f t="shared" si="0"/>
        <v>13.624553364113311</v>
      </c>
      <c r="T15" s="57">
        <v>3</v>
      </c>
      <c r="U15" s="57"/>
      <c r="V15" s="57"/>
      <c r="W15" s="66">
        <v>58</v>
      </c>
      <c r="X15" s="143">
        <f t="shared" si="1"/>
        <v>0</v>
      </c>
      <c r="Y15" s="143">
        <f>IF(OR(K15&gt;Cuts!$B$16, L15&gt;Cuts!B$16), 1,0)</f>
        <v>0</v>
      </c>
      <c r="Z15" s="246">
        <f>IF(OR(C15&gt;Cuts!$D$16, D15&gt;Cuts!$D$16),1,0)</f>
        <v>0</v>
      </c>
      <c r="AA15" s="304">
        <f t="shared" si="2"/>
        <v>0</v>
      </c>
    </row>
    <row r="16" spans="1:27">
      <c r="A16" s="171">
        <v>59</v>
      </c>
      <c r="B16" s="84"/>
      <c r="C16" s="81">
        <v>102</v>
      </c>
      <c r="D16" s="77">
        <v>102</v>
      </c>
      <c r="E16" s="233">
        <v>0.36</v>
      </c>
      <c r="F16" s="71">
        <v>0.37</v>
      </c>
      <c r="G16" s="71">
        <v>0.36</v>
      </c>
      <c r="H16" s="71"/>
      <c r="I16" s="71"/>
      <c r="J16" s="234"/>
      <c r="K16" s="85">
        <v>26.25</v>
      </c>
      <c r="L16" s="144">
        <v>26.23</v>
      </c>
      <c r="M16" s="74"/>
      <c r="N16" s="67"/>
      <c r="O16" s="67"/>
      <c r="P16" s="75"/>
      <c r="Q16" s="77"/>
      <c r="R16" s="145">
        <v>13.4</v>
      </c>
      <c r="S16" s="64">
        <f t="shared" si="0"/>
        <v>13.779566424914115</v>
      </c>
      <c r="T16" s="57">
        <v>3</v>
      </c>
      <c r="U16" s="57"/>
      <c r="V16" s="57"/>
      <c r="W16" s="171">
        <v>59</v>
      </c>
      <c r="X16" s="143">
        <f t="shared" si="1"/>
        <v>0</v>
      </c>
      <c r="Y16" s="143">
        <f>IF(OR(K16&gt;Cuts!$B$16, L16&gt;Cuts!B$16), 1,0)</f>
        <v>0</v>
      </c>
      <c r="Z16" s="246">
        <f>IF(OR(C16&gt;Cuts!$D$16, D16&gt;Cuts!$D$16),1,0)</f>
        <v>0</v>
      </c>
      <c r="AA16" s="304">
        <f t="shared" si="2"/>
        <v>0</v>
      </c>
    </row>
    <row r="17" spans="1:27">
      <c r="A17" s="66">
        <v>60</v>
      </c>
      <c r="B17" s="84"/>
      <c r="C17" s="81">
        <v>102</v>
      </c>
      <c r="D17" s="77">
        <v>102</v>
      </c>
      <c r="E17" s="233">
        <v>0.39</v>
      </c>
      <c r="F17" s="71">
        <v>0.39</v>
      </c>
      <c r="G17" s="71">
        <v>0.39</v>
      </c>
      <c r="H17" s="71"/>
      <c r="I17" s="71"/>
      <c r="J17" s="234"/>
      <c r="K17" s="85">
        <v>26.27</v>
      </c>
      <c r="L17" s="144">
        <v>26.22</v>
      </c>
      <c r="M17" s="74" t="s">
        <v>89</v>
      </c>
      <c r="N17" s="67"/>
      <c r="O17" s="67"/>
      <c r="P17" s="75"/>
      <c r="Q17" s="76"/>
      <c r="R17" s="145">
        <v>14.3</v>
      </c>
      <c r="S17" s="64">
        <f t="shared" si="0"/>
        <v>13.696975583273257</v>
      </c>
      <c r="T17" s="57">
        <v>3</v>
      </c>
      <c r="U17" s="57"/>
      <c r="V17" s="57"/>
      <c r="W17" s="66">
        <v>60</v>
      </c>
      <c r="X17" s="143">
        <f t="shared" si="1"/>
        <v>0</v>
      </c>
      <c r="Y17" s="143">
        <f>IF(OR(K17&gt;Cuts!$B$16, L17&gt;Cuts!B$16), 1,0)</f>
        <v>0</v>
      </c>
      <c r="Z17" s="246">
        <f>IF(OR(C17&gt;Cuts!$D$16, D17&gt;Cuts!$D$16),1,0)</f>
        <v>0</v>
      </c>
      <c r="AA17" s="304">
        <f t="shared" si="2"/>
        <v>0</v>
      </c>
    </row>
    <row r="18" spans="1:27">
      <c r="A18" s="66">
        <v>61</v>
      </c>
      <c r="B18" s="84"/>
      <c r="C18" s="81">
        <v>102</v>
      </c>
      <c r="D18" s="77">
        <v>102</v>
      </c>
      <c r="E18" s="233">
        <v>0.39</v>
      </c>
      <c r="F18" s="71">
        <v>0.39</v>
      </c>
      <c r="G18" s="71">
        <v>0.39</v>
      </c>
      <c r="H18" s="71"/>
      <c r="I18" s="71"/>
      <c r="J18" s="234"/>
      <c r="K18" s="85">
        <v>26.2</v>
      </c>
      <c r="L18" s="144">
        <v>26.25</v>
      </c>
      <c r="M18" s="74" t="s">
        <v>89</v>
      </c>
      <c r="N18" s="67" t="s">
        <v>89</v>
      </c>
      <c r="O18" s="67"/>
      <c r="P18" s="75"/>
      <c r="Q18" s="76" t="s">
        <v>96</v>
      </c>
      <c r="R18" s="145">
        <v>14.2</v>
      </c>
      <c r="S18" s="64">
        <f t="shared" si="0"/>
        <v>13.611565229352477</v>
      </c>
      <c r="T18" s="57">
        <v>3</v>
      </c>
      <c r="U18" s="57"/>
      <c r="V18" s="57"/>
      <c r="W18" s="66">
        <v>61</v>
      </c>
      <c r="X18" s="143">
        <f t="shared" si="1"/>
        <v>0</v>
      </c>
      <c r="Y18" s="143">
        <f>IF(OR(K18&gt;Cuts!$B$16, L18&gt;Cuts!B$16), 1,0)</f>
        <v>0</v>
      </c>
      <c r="Z18" s="246">
        <f>IF(OR(C18&gt;Cuts!$D$16, D18&gt;Cuts!$D$16),1,0)</f>
        <v>0</v>
      </c>
      <c r="AA18" s="304">
        <f t="shared" si="2"/>
        <v>0</v>
      </c>
    </row>
    <row r="19" spans="1:27">
      <c r="A19" s="66">
        <v>62</v>
      </c>
      <c r="B19" s="84"/>
      <c r="C19" s="81">
        <v>102</v>
      </c>
      <c r="D19" s="77">
        <v>102</v>
      </c>
      <c r="E19" s="233">
        <v>0.37</v>
      </c>
      <c r="F19" s="71">
        <v>0.38</v>
      </c>
      <c r="G19" s="71">
        <v>0.38</v>
      </c>
      <c r="H19" s="71"/>
      <c r="I19" s="71"/>
      <c r="J19" s="234"/>
      <c r="K19" s="85">
        <v>26.3</v>
      </c>
      <c r="L19" s="144">
        <v>26.19</v>
      </c>
      <c r="M19" s="74" t="s">
        <v>89</v>
      </c>
      <c r="N19" s="67" t="s">
        <v>89</v>
      </c>
      <c r="O19" s="67"/>
      <c r="P19" s="75"/>
      <c r="Q19" s="76" t="s">
        <v>93</v>
      </c>
      <c r="R19" s="145">
        <v>13.6</v>
      </c>
      <c r="S19" s="64">
        <f t="shared" si="0"/>
        <v>13.487609102113002</v>
      </c>
      <c r="T19" s="57">
        <v>3</v>
      </c>
      <c r="U19" s="57"/>
      <c r="V19" s="57"/>
      <c r="W19" s="66">
        <v>62</v>
      </c>
      <c r="X19" s="143">
        <f t="shared" si="1"/>
        <v>0</v>
      </c>
      <c r="Y19" s="143">
        <f>IF(OR(K19&gt;Cuts!$B$16, L19&gt;Cuts!B$16), 1,0)</f>
        <v>0</v>
      </c>
      <c r="Z19" s="246">
        <f>IF(OR(C19&gt;Cuts!$D$16, D19&gt;Cuts!$D$16),1,0)</f>
        <v>0</v>
      </c>
      <c r="AA19" s="304">
        <f t="shared" si="2"/>
        <v>0</v>
      </c>
    </row>
    <row r="20" spans="1:27">
      <c r="A20" s="66">
        <v>63</v>
      </c>
      <c r="B20" s="84"/>
      <c r="C20" s="81">
        <v>102</v>
      </c>
      <c r="D20" s="77">
        <v>102</v>
      </c>
      <c r="E20" s="233">
        <v>0.39</v>
      </c>
      <c r="F20" s="71">
        <v>0.39</v>
      </c>
      <c r="G20" s="71">
        <v>0.39</v>
      </c>
      <c r="H20" s="71"/>
      <c r="I20" s="71"/>
      <c r="J20" s="234"/>
      <c r="K20" s="85">
        <v>26.19</v>
      </c>
      <c r="L20" s="144">
        <v>26.26</v>
      </c>
      <c r="M20" s="74"/>
      <c r="N20" s="67" t="s">
        <v>89</v>
      </c>
      <c r="O20" s="67"/>
      <c r="P20" s="75"/>
      <c r="Q20" s="76"/>
      <c r="R20" s="145">
        <v>14</v>
      </c>
      <c r="S20" s="64">
        <f t="shared" si="0"/>
        <v>13.41985304302357</v>
      </c>
      <c r="T20" s="57">
        <v>3</v>
      </c>
      <c r="U20" s="57"/>
      <c r="V20" s="57"/>
      <c r="W20" s="66">
        <v>63</v>
      </c>
      <c r="X20" s="143">
        <f t="shared" si="1"/>
        <v>0</v>
      </c>
      <c r="Y20" s="143">
        <f>IF(OR(K20&gt;Cuts!$B$16, L20&gt;Cuts!B$16), 1,0)</f>
        <v>0</v>
      </c>
      <c r="Z20" s="246">
        <f>IF(OR(C20&gt;Cuts!$D$16, D20&gt;Cuts!$D$16),1,0)</f>
        <v>0</v>
      </c>
      <c r="AA20" s="304">
        <f t="shared" si="2"/>
        <v>0</v>
      </c>
    </row>
    <row r="21" spans="1:27">
      <c r="A21" s="66">
        <v>64</v>
      </c>
      <c r="B21" s="84"/>
      <c r="C21" s="81">
        <v>102</v>
      </c>
      <c r="D21" s="77">
        <v>102</v>
      </c>
      <c r="E21" s="233">
        <v>0.39</v>
      </c>
      <c r="F21" s="71">
        <v>0.39</v>
      </c>
      <c r="G21" s="71">
        <v>0.39</v>
      </c>
      <c r="H21" s="71"/>
      <c r="I21" s="71"/>
      <c r="J21" s="234"/>
      <c r="K21" s="85">
        <v>26.19</v>
      </c>
      <c r="L21" s="144">
        <v>26.25</v>
      </c>
      <c r="M21" s="74"/>
      <c r="N21" s="67"/>
      <c r="O21" s="67"/>
      <c r="P21" s="75"/>
      <c r="Q21" s="77"/>
      <c r="R21" s="145">
        <v>14.1</v>
      </c>
      <c r="S21" s="64">
        <f t="shared" si="0"/>
        <v>13.518286502537414</v>
      </c>
      <c r="T21" s="57">
        <v>3</v>
      </c>
      <c r="U21" s="57"/>
      <c r="V21" s="57"/>
      <c r="W21" s="66">
        <v>64</v>
      </c>
      <c r="X21" s="143">
        <f t="shared" si="1"/>
        <v>0</v>
      </c>
      <c r="Y21" s="143">
        <f>IF(OR(K21&gt;Cuts!$B$16, L21&gt;Cuts!B$16), 1,0)</f>
        <v>0</v>
      </c>
      <c r="Z21" s="246">
        <f>IF(OR(C21&gt;Cuts!$D$16, D21&gt;Cuts!$D$16),1,0)</f>
        <v>0</v>
      </c>
      <c r="AA21" s="304">
        <f t="shared" si="2"/>
        <v>0</v>
      </c>
    </row>
    <row r="22" spans="1:27">
      <c r="A22" s="66">
        <v>65</v>
      </c>
      <c r="B22" s="84"/>
      <c r="C22" s="81">
        <v>102</v>
      </c>
      <c r="D22" s="77">
        <v>102</v>
      </c>
      <c r="E22" s="233">
        <v>0.38</v>
      </c>
      <c r="F22" s="71">
        <v>0.38</v>
      </c>
      <c r="G22" s="71">
        <v>0.38</v>
      </c>
      <c r="H22" s="71"/>
      <c r="I22" s="71"/>
      <c r="J22" s="234"/>
      <c r="K22" s="85">
        <v>26.3</v>
      </c>
      <c r="L22" s="144">
        <v>26.17</v>
      </c>
      <c r="M22" s="74" t="s">
        <v>89</v>
      </c>
      <c r="N22" s="67"/>
      <c r="O22" s="67"/>
      <c r="P22" s="75"/>
      <c r="Q22" s="76"/>
      <c r="R22" s="145">
        <v>13.9</v>
      </c>
      <c r="S22" s="64">
        <f t="shared" si="0"/>
        <v>13.669416087781643</v>
      </c>
      <c r="T22" s="57">
        <v>3</v>
      </c>
      <c r="U22" s="57"/>
      <c r="V22" s="57"/>
      <c r="W22" s="66">
        <v>65</v>
      </c>
      <c r="X22" s="143">
        <f t="shared" si="1"/>
        <v>0</v>
      </c>
      <c r="Y22" s="143">
        <f>IF(OR(K22&gt;Cuts!$B$16, L22&gt;Cuts!B$16), 1,0)</f>
        <v>0</v>
      </c>
      <c r="Z22" s="246">
        <f>IF(OR(C22&gt;Cuts!$D$16, D22&gt;Cuts!$D$16),1,0)</f>
        <v>0</v>
      </c>
      <c r="AA22" s="304">
        <f t="shared" si="2"/>
        <v>0</v>
      </c>
    </row>
    <row r="23" spans="1:27">
      <c r="A23" s="66">
        <v>66</v>
      </c>
      <c r="B23" s="84"/>
      <c r="C23" s="81">
        <v>102</v>
      </c>
      <c r="D23" s="77">
        <v>102</v>
      </c>
      <c r="E23" s="233">
        <v>0.38</v>
      </c>
      <c r="F23" s="71">
        <v>0.38</v>
      </c>
      <c r="G23" s="71">
        <v>0.38</v>
      </c>
      <c r="H23" s="71"/>
      <c r="I23" s="71"/>
      <c r="J23" s="234"/>
      <c r="K23" s="85">
        <v>26.25</v>
      </c>
      <c r="L23" s="144">
        <v>26.25</v>
      </c>
      <c r="M23" s="74" t="s">
        <v>89</v>
      </c>
      <c r="N23" s="67" t="s">
        <v>89</v>
      </c>
      <c r="O23" s="67"/>
      <c r="P23" s="75"/>
      <c r="Q23" s="77" t="s">
        <v>94</v>
      </c>
      <c r="R23" s="145">
        <v>13.9</v>
      </c>
      <c r="S23" s="64">
        <f t="shared" si="0"/>
        <v>13.66160499287434</v>
      </c>
      <c r="T23" s="57">
        <v>3</v>
      </c>
      <c r="U23" s="57"/>
      <c r="V23" s="57"/>
      <c r="W23" s="66">
        <v>66</v>
      </c>
      <c r="X23" s="143">
        <f t="shared" si="1"/>
        <v>0</v>
      </c>
      <c r="Y23" s="143">
        <f>IF(OR(K23&gt;Cuts!$B$16, L23&gt;Cuts!B$16), 1,0)</f>
        <v>0</v>
      </c>
      <c r="Z23" s="246">
        <f>IF(OR(C23&gt;Cuts!$D$16, D23&gt;Cuts!$D$16),1,0)</f>
        <v>0</v>
      </c>
      <c r="AA23" s="304">
        <f t="shared" si="2"/>
        <v>0</v>
      </c>
    </row>
    <row r="24" spans="1:27">
      <c r="A24" s="66">
        <v>67</v>
      </c>
      <c r="B24" s="84"/>
      <c r="C24" s="81">
        <v>102</v>
      </c>
      <c r="D24" s="77">
        <v>102</v>
      </c>
      <c r="E24" s="233">
        <v>0.39</v>
      </c>
      <c r="F24" s="71">
        <v>0.39</v>
      </c>
      <c r="G24" s="71">
        <v>0.39</v>
      </c>
      <c r="H24" s="71"/>
      <c r="I24" s="71"/>
      <c r="J24" s="234"/>
      <c r="K24" s="85">
        <v>26.28</v>
      </c>
      <c r="L24" s="144">
        <v>26.27</v>
      </c>
      <c r="M24" s="74"/>
      <c r="N24" s="67"/>
      <c r="O24" s="67"/>
      <c r="P24" s="75"/>
      <c r="Q24" s="76" t="s">
        <v>93</v>
      </c>
      <c r="R24" s="145">
        <v>14.1</v>
      </c>
      <c r="S24" s="64">
        <f t="shared" si="0"/>
        <v>13.489989423274253</v>
      </c>
      <c r="T24" s="57">
        <v>3</v>
      </c>
      <c r="U24" s="57"/>
      <c r="V24" s="57"/>
      <c r="W24" s="66">
        <v>67</v>
      </c>
      <c r="X24" s="143">
        <f t="shared" si="1"/>
        <v>0</v>
      </c>
      <c r="Y24" s="143">
        <f>IF(OR(K24&gt;Cuts!$B$16, L24&gt;Cuts!B$16), 1,0)</f>
        <v>0</v>
      </c>
      <c r="Z24" s="246">
        <f>IF(OR(C24&gt;Cuts!$D$16, D24&gt;Cuts!$D$16),1,0)</f>
        <v>0</v>
      </c>
      <c r="AA24" s="304">
        <f t="shared" si="2"/>
        <v>0</v>
      </c>
    </row>
    <row r="25" spans="1:27">
      <c r="A25" s="66">
        <v>68</v>
      </c>
      <c r="B25" s="84"/>
      <c r="C25" s="81">
        <v>102</v>
      </c>
      <c r="D25" s="77">
        <v>102</v>
      </c>
      <c r="E25" s="233">
        <v>0.38</v>
      </c>
      <c r="F25" s="71">
        <v>0.38</v>
      </c>
      <c r="G25" s="71">
        <v>0.38</v>
      </c>
      <c r="H25" s="71"/>
      <c r="I25" s="71"/>
      <c r="J25" s="234"/>
      <c r="K25" s="85">
        <v>26.27</v>
      </c>
      <c r="L25" s="144">
        <v>26.13</v>
      </c>
      <c r="M25" s="74"/>
      <c r="N25" s="67"/>
      <c r="O25" s="67"/>
      <c r="P25" s="75"/>
      <c r="Q25" s="76" t="s">
        <v>93</v>
      </c>
      <c r="R25" s="145">
        <v>13.9</v>
      </c>
      <c r="S25" s="64">
        <f t="shared" si="0"/>
        <v>13.687676758127921</v>
      </c>
      <c r="T25" s="57">
        <v>3</v>
      </c>
      <c r="U25" s="57"/>
      <c r="V25" s="57"/>
      <c r="W25" s="66">
        <v>68</v>
      </c>
      <c r="X25" s="143">
        <f t="shared" si="1"/>
        <v>0</v>
      </c>
      <c r="Y25" s="143">
        <f>IF(OR(K25&gt;Cuts!$B$16, L25&gt;Cuts!B$16), 1,0)</f>
        <v>0</v>
      </c>
      <c r="Z25" s="246">
        <f>IF(OR(C25&gt;Cuts!$D$16, D25&gt;Cuts!$D$16),1,0)</f>
        <v>0</v>
      </c>
      <c r="AA25" s="304">
        <f t="shared" si="2"/>
        <v>0</v>
      </c>
    </row>
    <row r="26" spans="1:27">
      <c r="A26" s="66">
        <v>69</v>
      </c>
      <c r="B26" s="84"/>
      <c r="C26" s="81">
        <v>102</v>
      </c>
      <c r="D26" s="77">
        <v>102</v>
      </c>
      <c r="E26" s="233">
        <v>0.38</v>
      </c>
      <c r="F26" s="71">
        <v>0.38</v>
      </c>
      <c r="G26" s="71">
        <v>0.38</v>
      </c>
      <c r="H26" s="71"/>
      <c r="I26" s="71"/>
      <c r="J26" s="234"/>
      <c r="K26" s="85">
        <v>26.34</v>
      </c>
      <c r="L26" s="144">
        <v>26.23</v>
      </c>
      <c r="M26" s="74"/>
      <c r="N26" s="67" t="s">
        <v>89</v>
      </c>
      <c r="O26" s="67"/>
      <c r="P26" s="75"/>
      <c r="Q26" s="76"/>
      <c r="R26" s="145">
        <v>13.9</v>
      </c>
      <c r="S26" s="64">
        <f t="shared" si="0"/>
        <v>13.643413774508328</v>
      </c>
      <c r="T26" s="57">
        <v>3</v>
      </c>
      <c r="U26" s="57"/>
      <c r="V26" s="57"/>
      <c r="W26" s="66">
        <v>69</v>
      </c>
      <c r="X26" s="143">
        <f t="shared" si="1"/>
        <v>0</v>
      </c>
      <c r="Y26" s="143">
        <f>IF(OR(K26&gt;Cuts!$B$16, L26&gt;Cuts!B$16), 1,0)</f>
        <v>0</v>
      </c>
      <c r="Z26" s="246">
        <f>IF(OR(C26&gt;Cuts!$D$16, D26&gt;Cuts!$D$16),1,0)</f>
        <v>0</v>
      </c>
      <c r="AA26" s="304">
        <f t="shared" si="2"/>
        <v>0</v>
      </c>
    </row>
    <row r="27" spans="1:27">
      <c r="A27" s="66">
        <v>70</v>
      </c>
      <c r="B27" s="84"/>
      <c r="C27" s="81">
        <v>102</v>
      </c>
      <c r="D27" s="77">
        <v>102</v>
      </c>
      <c r="E27" s="233">
        <v>0.39</v>
      </c>
      <c r="F27" s="71">
        <v>0.39</v>
      </c>
      <c r="G27" s="71">
        <v>0.39</v>
      </c>
      <c r="H27" s="71"/>
      <c r="I27" s="71"/>
      <c r="J27" s="234"/>
      <c r="K27" s="85">
        <v>26.26</v>
      </c>
      <c r="L27" s="144">
        <v>26.28</v>
      </c>
      <c r="M27" s="74"/>
      <c r="N27" s="67" t="s">
        <v>89</v>
      </c>
      <c r="O27" s="67"/>
      <c r="P27" s="75"/>
      <c r="Q27" s="77" t="s">
        <v>94</v>
      </c>
      <c r="R27" s="145">
        <v>14.2</v>
      </c>
      <c r="S27" s="64">
        <f t="shared" si="0"/>
        <v>13.588248882366527</v>
      </c>
      <c r="T27" s="57">
        <v>3</v>
      </c>
      <c r="U27" s="57"/>
      <c r="V27" s="57"/>
      <c r="W27" s="66">
        <v>70</v>
      </c>
      <c r="X27" s="143">
        <f t="shared" si="1"/>
        <v>0</v>
      </c>
      <c r="Y27" s="143">
        <f>IF(OR(K27&gt;Cuts!$B$16, L27&gt;Cuts!B$16), 1,0)</f>
        <v>0</v>
      </c>
      <c r="Z27" s="246">
        <f>IF(OR(C27&gt;Cuts!$D$16, D27&gt;Cuts!$D$16),1,0)</f>
        <v>0</v>
      </c>
      <c r="AA27" s="304">
        <f t="shared" si="2"/>
        <v>0</v>
      </c>
    </row>
    <row r="28" spans="1:27">
      <c r="A28" s="66">
        <v>71</v>
      </c>
      <c r="B28" s="84"/>
      <c r="C28" s="81">
        <v>102</v>
      </c>
      <c r="D28" s="77">
        <v>102</v>
      </c>
      <c r="E28" s="233">
        <v>0.38</v>
      </c>
      <c r="F28" s="71">
        <v>0.38</v>
      </c>
      <c r="G28" s="71">
        <v>0.38</v>
      </c>
      <c r="H28" s="71"/>
      <c r="I28" s="71"/>
      <c r="J28" s="234"/>
      <c r="K28" s="85">
        <v>26.35</v>
      </c>
      <c r="L28" s="144">
        <v>26.19</v>
      </c>
      <c r="M28" s="74" t="s">
        <v>89</v>
      </c>
      <c r="N28" s="67"/>
      <c r="O28" s="67"/>
      <c r="P28" s="75"/>
      <c r="Q28" s="77" t="s">
        <v>94</v>
      </c>
      <c r="R28" s="145">
        <v>13.5</v>
      </c>
      <c r="S28" s="64">
        <f t="shared" si="0"/>
        <v>13.25836367043361</v>
      </c>
      <c r="T28" s="57">
        <v>3</v>
      </c>
      <c r="U28" s="57"/>
      <c r="V28" s="57"/>
      <c r="W28" s="66">
        <v>71</v>
      </c>
      <c r="X28" s="143">
        <f t="shared" si="1"/>
        <v>0</v>
      </c>
      <c r="Y28" s="143">
        <f>IF(OR(K28&gt;Cuts!$B$16, L28&gt;Cuts!B$16), 1,0)</f>
        <v>0</v>
      </c>
      <c r="Z28" s="246">
        <f>IF(OR(C28&gt;Cuts!$D$16, D28&gt;Cuts!$D$16),1,0)</f>
        <v>0</v>
      </c>
      <c r="AA28" s="304">
        <f t="shared" si="2"/>
        <v>0</v>
      </c>
    </row>
    <row r="29" spans="1:27">
      <c r="A29" s="66">
        <v>72</v>
      </c>
      <c r="B29" s="84"/>
      <c r="C29" s="81">
        <v>102</v>
      </c>
      <c r="D29" s="77">
        <v>102</v>
      </c>
      <c r="E29" s="233">
        <v>0.38</v>
      </c>
      <c r="F29" s="71">
        <v>0.38</v>
      </c>
      <c r="G29" s="71">
        <v>0.38</v>
      </c>
      <c r="H29" s="71"/>
      <c r="I29" s="71"/>
      <c r="J29" s="234"/>
      <c r="K29" s="85">
        <v>26.3</v>
      </c>
      <c r="L29" s="144">
        <v>26.21</v>
      </c>
      <c r="M29" s="74" t="s">
        <v>89</v>
      </c>
      <c r="N29" s="67"/>
      <c r="O29" s="67"/>
      <c r="P29" s="75"/>
      <c r="Q29" s="77"/>
      <c r="R29" s="145">
        <v>13.8</v>
      </c>
      <c r="S29" s="64">
        <f t="shared" si="0"/>
        <v>13.560737067331415</v>
      </c>
      <c r="T29" s="57">
        <v>3</v>
      </c>
      <c r="U29" s="57"/>
      <c r="V29" s="57"/>
      <c r="W29" s="66">
        <v>72</v>
      </c>
      <c r="X29" s="143">
        <f t="shared" si="1"/>
        <v>0</v>
      </c>
      <c r="Y29" s="143">
        <f>IF(OR(K29&gt;Cuts!$B$16, L29&gt;Cuts!B$16), 1,0)</f>
        <v>0</v>
      </c>
      <c r="Z29" s="246">
        <f>IF(OR(C29&gt;Cuts!$D$16, D29&gt;Cuts!$D$16),1,0)</f>
        <v>0</v>
      </c>
      <c r="AA29" s="304">
        <f t="shared" si="2"/>
        <v>0</v>
      </c>
    </row>
    <row r="30" spans="1:27">
      <c r="A30" s="66">
        <v>73</v>
      </c>
      <c r="B30" s="84"/>
      <c r="C30" s="81">
        <v>102</v>
      </c>
      <c r="D30" s="77">
        <v>102</v>
      </c>
      <c r="E30" s="233">
        <v>0.39</v>
      </c>
      <c r="F30" s="71">
        <v>0.39</v>
      </c>
      <c r="G30" s="71">
        <v>0.39</v>
      </c>
      <c r="H30" s="71"/>
      <c r="I30" s="71"/>
      <c r="J30" s="234"/>
      <c r="K30" s="85">
        <v>26.22</v>
      </c>
      <c r="L30" s="144">
        <v>26.27</v>
      </c>
      <c r="M30" s="74" t="s">
        <v>89</v>
      </c>
      <c r="N30" s="67"/>
      <c r="O30" s="67"/>
      <c r="P30" s="75"/>
      <c r="Q30" s="77"/>
      <c r="R30" s="145">
        <v>14</v>
      </c>
      <c r="S30" s="64">
        <f t="shared" si="0"/>
        <v>13.40962644516263</v>
      </c>
      <c r="T30" s="57">
        <v>3</v>
      </c>
      <c r="U30" s="57"/>
      <c r="V30" s="57"/>
      <c r="W30" s="66">
        <v>73</v>
      </c>
      <c r="X30" s="143">
        <f t="shared" si="1"/>
        <v>0</v>
      </c>
      <c r="Y30" s="143">
        <f>IF(OR(K30&gt;Cuts!$B$16, L30&gt;Cuts!B$16), 1,0)</f>
        <v>0</v>
      </c>
      <c r="Z30" s="246">
        <f>IF(OR(C30&gt;Cuts!$D$16, D30&gt;Cuts!$D$16),1,0)</f>
        <v>0</v>
      </c>
      <c r="AA30" s="304">
        <f t="shared" si="2"/>
        <v>0</v>
      </c>
    </row>
    <row r="31" spans="1:27">
      <c r="A31" s="66">
        <v>74</v>
      </c>
      <c r="B31" s="230"/>
      <c r="C31" s="81">
        <v>102</v>
      </c>
      <c r="D31" s="77">
        <v>102</v>
      </c>
      <c r="E31" s="235">
        <v>0.38</v>
      </c>
      <c r="F31" s="108">
        <v>0.38</v>
      </c>
      <c r="G31" s="108">
        <v>0.38</v>
      </c>
      <c r="H31" s="108"/>
      <c r="I31" s="108"/>
      <c r="J31" s="236"/>
      <c r="K31" s="146">
        <v>26.31</v>
      </c>
      <c r="L31" s="144">
        <v>26.18</v>
      </c>
      <c r="M31" s="79" t="s">
        <v>89</v>
      </c>
      <c r="N31" s="80"/>
      <c r="O31" s="80"/>
      <c r="P31" s="75"/>
      <c r="Q31" s="77"/>
      <c r="R31" s="145">
        <v>13.8</v>
      </c>
      <c r="S31" s="64">
        <f t="shared" si="0"/>
        <v>13.565904046591212</v>
      </c>
      <c r="T31" s="57">
        <v>3</v>
      </c>
      <c r="U31" s="57"/>
      <c r="V31" s="57"/>
      <c r="W31" s="66">
        <v>74</v>
      </c>
      <c r="X31" s="143">
        <f t="shared" si="1"/>
        <v>0</v>
      </c>
      <c r="Y31" s="143">
        <f>IF(OR(K31&gt;Cuts!$B$16, L31&gt;Cuts!B$16), 1,0)</f>
        <v>0</v>
      </c>
      <c r="Z31" s="246">
        <f>IF(OR(C31&gt;Cuts!$D$16, D31&gt;Cuts!$D$16),1,0)</f>
        <v>0</v>
      </c>
      <c r="AA31" s="304">
        <f t="shared" si="2"/>
        <v>0</v>
      </c>
    </row>
    <row r="32" spans="1:27">
      <c r="A32" s="66">
        <v>75</v>
      </c>
      <c r="B32" s="230"/>
      <c r="C32" s="81">
        <v>102</v>
      </c>
      <c r="D32" s="77">
        <v>102</v>
      </c>
      <c r="E32" s="235">
        <v>0.39</v>
      </c>
      <c r="F32" s="108">
        <v>0.39</v>
      </c>
      <c r="G32" s="108">
        <v>0.39</v>
      </c>
      <c r="H32" s="108"/>
      <c r="I32" s="108"/>
      <c r="J32" s="236"/>
      <c r="K32" s="146">
        <v>26.31</v>
      </c>
      <c r="L32" s="144">
        <v>26.15</v>
      </c>
      <c r="M32" s="79" t="s">
        <v>89</v>
      </c>
      <c r="N32" s="80" t="s">
        <v>89</v>
      </c>
      <c r="O32" s="80"/>
      <c r="P32" s="75"/>
      <c r="Q32" s="76" t="s">
        <v>94</v>
      </c>
      <c r="R32" s="145">
        <v>13.1</v>
      </c>
      <c r="S32" s="64">
        <f t="shared" si="0"/>
        <v>12.554754543048148</v>
      </c>
      <c r="T32" s="57">
        <v>3</v>
      </c>
      <c r="U32" s="57"/>
      <c r="V32" s="57"/>
      <c r="W32" s="66">
        <v>75</v>
      </c>
      <c r="X32" s="143">
        <f t="shared" si="1"/>
        <v>0</v>
      </c>
      <c r="Y32" s="143">
        <f>IF(OR(K32&gt;Cuts!$B$16, L32&gt;Cuts!B$16), 1,0)</f>
        <v>0</v>
      </c>
      <c r="Z32" s="246">
        <f>IF(OR(C32&gt;Cuts!$D$16, D32&gt;Cuts!$D$16),1,0)</f>
        <v>0</v>
      </c>
      <c r="AA32" s="304">
        <f t="shared" si="2"/>
        <v>0</v>
      </c>
    </row>
    <row r="33" spans="1:27">
      <c r="A33" s="171">
        <v>76</v>
      </c>
      <c r="B33" s="230"/>
      <c r="C33" s="81">
        <v>102</v>
      </c>
      <c r="D33" s="77">
        <v>102</v>
      </c>
      <c r="E33" s="235">
        <v>0.38</v>
      </c>
      <c r="F33" s="108">
        <v>0.38</v>
      </c>
      <c r="G33" s="108">
        <v>0.38</v>
      </c>
      <c r="H33" s="108"/>
      <c r="I33" s="108"/>
      <c r="J33" s="236"/>
      <c r="K33" s="146">
        <v>26.23</v>
      </c>
      <c r="L33" s="144">
        <v>26.24</v>
      </c>
      <c r="M33" s="79" t="s">
        <v>88</v>
      </c>
      <c r="N33" s="80"/>
      <c r="O33" s="80"/>
      <c r="P33" s="75"/>
      <c r="Q33" s="77"/>
      <c r="R33" s="145">
        <v>13.8</v>
      </c>
      <c r="S33" s="64">
        <f t="shared" si="0"/>
        <v>13.571074964847963</v>
      </c>
      <c r="T33" s="57">
        <v>3</v>
      </c>
      <c r="U33" s="57"/>
      <c r="V33" s="57"/>
      <c r="W33" s="171">
        <v>76</v>
      </c>
      <c r="X33" s="143">
        <f t="shared" si="1"/>
        <v>0</v>
      </c>
      <c r="Y33" s="143">
        <f>IF(OR(K33&gt;Cuts!$B$16, L33&gt;Cuts!B$16), 1,0)</f>
        <v>0</v>
      </c>
      <c r="Z33" s="246">
        <f>IF(OR(C33&gt;Cuts!$D$16, D33&gt;Cuts!$D$16),1,0)</f>
        <v>0</v>
      </c>
      <c r="AA33" s="304">
        <f t="shared" si="2"/>
        <v>1</v>
      </c>
    </row>
    <row r="34" spans="1:27">
      <c r="A34" s="66">
        <v>77</v>
      </c>
      <c r="B34" s="230"/>
      <c r="C34" s="81">
        <v>102</v>
      </c>
      <c r="D34" s="77">
        <v>102</v>
      </c>
      <c r="E34" s="235">
        <v>0.38</v>
      </c>
      <c r="F34" s="108">
        <v>0.38</v>
      </c>
      <c r="G34" s="108">
        <v>0.38</v>
      </c>
      <c r="H34" s="108"/>
      <c r="I34" s="108"/>
      <c r="J34" s="236"/>
      <c r="K34" s="146">
        <v>26.13</v>
      </c>
      <c r="L34" s="144">
        <v>26.26</v>
      </c>
      <c r="M34" s="79"/>
      <c r="N34" s="80" t="s">
        <v>89</v>
      </c>
      <c r="O34" s="80"/>
      <c r="P34" s="75"/>
      <c r="Q34" s="76"/>
      <c r="R34" s="145">
        <v>14</v>
      </c>
      <c r="S34" s="64">
        <f t="shared" si="0"/>
        <v>13.788780699489083</v>
      </c>
      <c r="T34" s="57">
        <v>3</v>
      </c>
      <c r="U34" s="57"/>
      <c r="V34" s="57"/>
      <c r="W34" s="66">
        <v>77</v>
      </c>
      <c r="X34" s="143">
        <f t="shared" si="1"/>
        <v>0</v>
      </c>
      <c r="Y34" s="143">
        <f>IF(OR(K34&gt;Cuts!$B$16, L34&gt;Cuts!B$16), 1,0)</f>
        <v>0</v>
      </c>
      <c r="Z34" s="246">
        <f>IF(OR(C34&gt;Cuts!$D$16, D34&gt;Cuts!$D$16),1,0)</f>
        <v>0</v>
      </c>
      <c r="AA34" s="304">
        <f t="shared" si="2"/>
        <v>0</v>
      </c>
    </row>
    <row r="35" spans="1:27">
      <c r="A35" s="66">
        <v>78</v>
      </c>
      <c r="B35" s="230"/>
      <c r="C35" s="81">
        <v>102</v>
      </c>
      <c r="D35" s="77">
        <v>102</v>
      </c>
      <c r="E35" s="235">
        <v>0.38</v>
      </c>
      <c r="F35" s="108">
        <v>0.38</v>
      </c>
      <c r="G35" s="108">
        <v>0.38</v>
      </c>
      <c r="H35" s="108"/>
      <c r="I35" s="108"/>
      <c r="J35" s="236"/>
      <c r="K35" s="146">
        <v>26.27</v>
      </c>
      <c r="L35" s="144">
        <v>26.16</v>
      </c>
      <c r="M35" s="79"/>
      <c r="N35" s="80"/>
      <c r="O35" s="80"/>
      <c r="P35" s="75"/>
      <c r="Q35" s="76"/>
      <c r="R35" s="145">
        <v>13.9</v>
      </c>
      <c r="S35" s="64">
        <f t="shared" si="0"/>
        <v>13.679844785922237</v>
      </c>
      <c r="T35" s="57">
        <v>3</v>
      </c>
      <c r="U35" s="57"/>
      <c r="V35" s="57"/>
      <c r="W35" s="66">
        <v>78</v>
      </c>
      <c r="X35" s="143">
        <f t="shared" si="1"/>
        <v>0</v>
      </c>
      <c r="Y35" s="143">
        <f>IF(OR(K35&gt;Cuts!$B$16, L35&gt;Cuts!B$16), 1,0)</f>
        <v>0</v>
      </c>
      <c r="Z35" s="246">
        <f>IF(OR(C35&gt;Cuts!$D$16, D35&gt;Cuts!$D$16),1,0)</f>
        <v>0</v>
      </c>
      <c r="AA35" s="304">
        <f t="shared" si="2"/>
        <v>0</v>
      </c>
    </row>
    <row r="36" spans="1:27">
      <c r="A36" s="66">
        <v>79</v>
      </c>
      <c r="B36" s="230"/>
      <c r="C36" s="81">
        <v>102</v>
      </c>
      <c r="D36" s="77">
        <v>102</v>
      </c>
      <c r="E36" s="235">
        <v>0.39</v>
      </c>
      <c r="F36" s="108">
        <v>0.39</v>
      </c>
      <c r="G36" s="108">
        <v>0.39</v>
      </c>
      <c r="H36" s="108"/>
      <c r="I36" s="108"/>
      <c r="J36" s="236"/>
      <c r="K36" s="146">
        <v>26.25</v>
      </c>
      <c r="L36" s="144">
        <v>26.17</v>
      </c>
      <c r="M36" s="79" t="s">
        <v>89</v>
      </c>
      <c r="N36" s="80"/>
      <c r="O36" s="80"/>
      <c r="P36" s="75"/>
      <c r="Q36" s="76"/>
      <c r="R36" s="145">
        <v>14.5</v>
      </c>
      <c r="S36" s="64">
        <f t="shared" si="0"/>
        <v>13.907087991968034</v>
      </c>
      <c r="T36" s="57">
        <v>3</v>
      </c>
      <c r="U36" s="57"/>
      <c r="V36" s="57"/>
      <c r="W36" s="66">
        <v>79</v>
      </c>
      <c r="X36" s="143">
        <f t="shared" si="1"/>
        <v>0</v>
      </c>
      <c r="Y36" s="143">
        <f>IF(OR(K36&gt;Cuts!$B$16, L36&gt;Cuts!B$16), 1,0)</f>
        <v>0</v>
      </c>
      <c r="Z36" s="246">
        <f>IF(OR(C36&gt;Cuts!$D$16, D36&gt;Cuts!$D$16),1,0)</f>
        <v>0</v>
      </c>
      <c r="AA36" s="304">
        <f t="shared" si="2"/>
        <v>0</v>
      </c>
    </row>
    <row r="37" spans="1:27">
      <c r="A37" s="66">
        <v>80</v>
      </c>
      <c r="B37" s="230"/>
      <c r="C37" s="81">
        <v>102</v>
      </c>
      <c r="D37" s="77">
        <v>102</v>
      </c>
      <c r="E37" s="235">
        <v>0.39</v>
      </c>
      <c r="F37" s="108">
        <v>0.39</v>
      </c>
      <c r="G37" s="108">
        <v>0.39</v>
      </c>
      <c r="H37" s="108"/>
      <c r="I37" s="108"/>
      <c r="J37" s="236"/>
      <c r="K37" s="146">
        <v>26.28</v>
      </c>
      <c r="L37" s="144">
        <v>26.23</v>
      </c>
      <c r="M37" s="79" t="s">
        <v>89</v>
      </c>
      <c r="N37" s="80" t="s">
        <v>89</v>
      </c>
      <c r="O37" s="80"/>
      <c r="P37" s="75"/>
      <c r="Q37" s="77"/>
      <c r="R37" s="145">
        <v>13.8</v>
      </c>
      <c r="S37" s="64">
        <f t="shared" si="0"/>
        <v>13.213025860476767</v>
      </c>
      <c r="T37" s="57">
        <v>3</v>
      </c>
      <c r="U37" s="57"/>
      <c r="V37" s="57"/>
      <c r="W37" s="66">
        <v>80</v>
      </c>
      <c r="X37" s="143">
        <f t="shared" si="1"/>
        <v>0</v>
      </c>
      <c r="Y37" s="143">
        <f>IF(OR(K37&gt;Cuts!$B$16, L37&gt;Cuts!B$16), 1,0)</f>
        <v>0</v>
      </c>
      <c r="Z37" s="246">
        <f>IF(OR(C37&gt;Cuts!$D$16, D37&gt;Cuts!$D$16),1,0)</f>
        <v>0</v>
      </c>
      <c r="AA37" s="304">
        <f t="shared" si="2"/>
        <v>0</v>
      </c>
    </row>
    <row r="38" spans="1:27">
      <c r="A38" s="66">
        <v>81</v>
      </c>
      <c r="B38" s="230"/>
      <c r="C38" s="81">
        <v>102</v>
      </c>
      <c r="D38" s="77">
        <v>102</v>
      </c>
      <c r="E38" s="235">
        <v>0.39</v>
      </c>
      <c r="F38" s="108">
        <v>0.39</v>
      </c>
      <c r="G38" s="108">
        <v>0.39</v>
      </c>
      <c r="H38" s="108"/>
      <c r="I38" s="108"/>
      <c r="J38" s="236"/>
      <c r="K38" s="146">
        <v>26.24</v>
      </c>
      <c r="L38" s="144">
        <v>26.24</v>
      </c>
      <c r="M38" s="79"/>
      <c r="N38" s="80"/>
      <c r="O38" s="80"/>
      <c r="P38" s="75"/>
      <c r="Q38" s="77"/>
      <c r="R38" s="145">
        <v>14.3</v>
      </c>
      <c r="S38" s="64">
        <f t="shared" si="0"/>
        <v>13.699585525267022</v>
      </c>
      <c r="T38" s="57">
        <v>3</v>
      </c>
      <c r="U38" s="57"/>
      <c r="V38" s="57"/>
      <c r="W38" s="66">
        <v>81</v>
      </c>
      <c r="X38" s="143">
        <f t="shared" si="1"/>
        <v>0</v>
      </c>
      <c r="Y38" s="143">
        <f>IF(OR(K38&gt;Cuts!$B$16, L38&gt;Cuts!B$16), 1,0)</f>
        <v>0</v>
      </c>
      <c r="Z38" s="246">
        <f>IF(OR(C38&gt;Cuts!$D$16, D38&gt;Cuts!$D$16),1,0)</f>
        <v>0</v>
      </c>
      <c r="AA38" s="304">
        <f t="shared" si="2"/>
        <v>0</v>
      </c>
    </row>
    <row r="39" spans="1:27">
      <c r="A39" s="66">
        <v>82</v>
      </c>
      <c r="B39" s="230"/>
      <c r="C39" s="81">
        <v>102</v>
      </c>
      <c r="D39" s="77">
        <v>102</v>
      </c>
      <c r="E39" s="235">
        <v>0.39</v>
      </c>
      <c r="F39" s="108">
        <v>0.39</v>
      </c>
      <c r="G39" s="108">
        <v>0.39</v>
      </c>
      <c r="H39" s="108"/>
      <c r="I39" s="108"/>
      <c r="J39" s="236"/>
      <c r="K39" s="146">
        <v>26.23</v>
      </c>
      <c r="L39" s="144">
        <v>26.28</v>
      </c>
      <c r="M39" s="79" t="s">
        <v>89</v>
      </c>
      <c r="N39" s="80"/>
      <c r="O39" s="80"/>
      <c r="P39" s="75"/>
      <c r="Q39" s="76" t="s">
        <v>93</v>
      </c>
      <c r="R39" s="145">
        <v>14</v>
      </c>
      <c r="S39" s="64">
        <f t="shared" si="0"/>
        <v>13.404518988889473</v>
      </c>
      <c r="T39" s="57">
        <v>3</v>
      </c>
      <c r="U39" s="57"/>
      <c r="V39" s="57"/>
      <c r="W39" s="66">
        <v>82</v>
      </c>
      <c r="X39" s="143">
        <f t="shared" si="1"/>
        <v>0</v>
      </c>
      <c r="Y39" s="143">
        <f>IF(OR(K39&gt;Cuts!$B$16, L39&gt;Cuts!B$16), 1,0)</f>
        <v>0</v>
      </c>
      <c r="Z39" s="246">
        <f>IF(OR(C39&gt;Cuts!$D$16, D39&gt;Cuts!$D$16),1,0)</f>
        <v>0</v>
      </c>
      <c r="AA39" s="304">
        <f t="shared" si="2"/>
        <v>0</v>
      </c>
    </row>
    <row r="40" spans="1:27" s="32" customFormat="1">
      <c r="A40" s="111">
        <v>83</v>
      </c>
      <c r="B40" s="231"/>
      <c r="C40" s="90">
        <v>102</v>
      </c>
      <c r="D40" s="148">
        <v>102</v>
      </c>
      <c r="E40" s="237">
        <v>0.39</v>
      </c>
      <c r="F40" s="114">
        <v>0.38</v>
      </c>
      <c r="G40" s="114">
        <v>0.38</v>
      </c>
      <c r="H40" s="114"/>
      <c r="I40" s="114"/>
      <c r="J40" s="238"/>
      <c r="K40" s="149">
        <v>26.18</v>
      </c>
      <c r="L40" s="150">
        <v>26.3</v>
      </c>
      <c r="M40" s="242"/>
      <c r="N40" s="112"/>
      <c r="O40" s="112"/>
      <c r="P40" s="93"/>
      <c r="Q40" s="243"/>
      <c r="R40" s="151">
        <v>13.8</v>
      </c>
      <c r="S40" s="96">
        <f t="shared" si="0"/>
        <v>13.450502152080345</v>
      </c>
      <c r="T40" s="111">
        <v>3</v>
      </c>
      <c r="U40" s="111"/>
      <c r="V40" s="111"/>
      <c r="W40" s="111">
        <v>83</v>
      </c>
      <c r="X40" s="152">
        <f t="shared" si="1"/>
        <v>0</v>
      </c>
      <c r="Y40" s="152">
        <f>IF(OR(K40&gt;Cuts!$B$16, L40&gt;Cuts!B$16), 1,0)</f>
        <v>0</v>
      </c>
      <c r="Z40" s="247">
        <f>IF(OR(C40&gt;Cuts!$D$16, D40&gt;Cuts!$D$16),1,0)</f>
        <v>0</v>
      </c>
      <c r="AA40" s="305">
        <f t="shared" si="2"/>
        <v>0</v>
      </c>
    </row>
    <row r="41" spans="1:27">
      <c r="A41" s="66"/>
      <c r="B41" s="80"/>
      <c r="C41" s="75"/>
      <c r="D41" s="75"/>
      <c r="E41" s="107"/>
      <c r="F41" s="108"/>
      <c r="G41" s="108"/>
      <c r="H41" s="108"/>
      <c r="I41" s="108"/>
      <c r="J41" s="108"/>
      <c r="K41" s="109"/>
      <c r="L41" s="102"/>
      <c r="M41" s="80"/>
      <c r="N41" s="80"/>
      <c r="O41" s="110"/>
      <c r="P41" s="75"/>
      <c r="Q41" s="106"/>
      <c r="R41" s="104"/>
      <c r="S41" s="105"/>
      <c r="T41" s="57"/>
      <c r="U41" s="57"/>
      <c r="V41" s="57"/>
      <c r="W41" s="57"/>
      <c r="X41" s="57"/>
      <c r="Y41" s="57">
        <f>SUM(Y12:Y40)</f>
        <v>0</v>
      </c>
      <c r="Z41" s="57">
        <f>SUM(Z12:Z40)</f>
        <v>0</v>
      </c>
      <c r="AA41" s="103">
        <f>SUM(AA12:AA40)</f>
        <v>1</v>
      </c>
    </row>
    <row r="42" spans="1:27">
      <c r="A42" s="66"/>
      <c r="B42" s="80"/>
      <c r="C42" s="75"/>
      <c r="D42" s="75"/>
      <c r="E42" s="107"/>
      <c r="F42" s="108"/>
      <c r="G42" s="108"/>
      <c r="H42" s="108"/>
      <c r="I42" s="108"/>
      <c r="J42" s="108"/>
      <c r="K42" s="109"/>
      <c r="L42" s="102"/>
      <c r="M42" s="80"/>
      <c r="N42" s="80"/>
      <c r="O42" s="110"/>
      <c r="P42" s="75"/>
      <c r="Q42" s="106"/>
      <c r="R42" s="104"/>
      <c r="S42" s="105"/>
      <c r="T42" s="57"/>
      <c r="U42" s="57"/>
      <c r="V42" s="57"/>
      <c r="W42" s="57"/>
      <c r="X42" s="57"/>
      <c r="Y42" s="57"/>
      <c r="Z42" s="57"/>
    </row>
    <row r="43" spans="1:27">
      <c r="A43" s="66" t="s">
        <v>114</v>
      </c>
      <c r="B43" s="80"/>
      <c r="C43" s="75" t="s">
        <v>132</v>
      </c>
      <c r="D43" s="75"/>
      <c r="E43" s="769" t="s">
        <v>133</v>
      </c>
      <c r="F43" s="769"/>
      <c r="G43" s="108"/>
      <c r="H43" s="108"/>
      <c r="I43" s="108"/>
      <c r="J43" s="108"/>
      <c r="K43" s="770" t="s">
        <v>130</v>
      </c>
      <c r="L43" s="770"/>
      <c r="M43" s="80"/>
      <c r="N43" s="80"/>
      <c r="O43" s="110"/>
      <c r="P43" s="75"/>
      <c r="Q43" s="106"/>
      <c r="R43" s="104" t="s">
        <v>134</v>
      </c>
      <c r="S43" s="105" t="s">
        <v>135</v>
      </c>
      <c r="T43" s="57"/>
      <c r="U43" s="57"/>
      <c r="V43" s="57"/>
      <c r="W43" s="57"/>
      <c r="X43" s="57"/>
      <c r="Y43" s="57"/>
      <c r="Z43" s="57"/>
    </row>
    <row r="44" spans="1:27">
      <c r="A44" s="66"/>
      <c r="B44" s="80"/>
      <c r="C44" s="75"/>
      <c r="D44" s="75"/>
      <c r="E44" s="107"/>
      <c r="F44" s="108"/>
      <c r="G44" s="108"/>
      <c r="H44" s="108"/>
      <c r="I44" s="108"/>
      <c r="J44" s="108"/>
      <c r="K44" s="109"/>
      <c r="L44" s="102"/>
      <c r="M44" s="80"/>
      <c r="N44" s="80"/>
      <c r="O44" s="110"/>
      <c r="P44" s="75"/>
      <c r="Q44" s="75"/>
      <c r="R44" s="104"/>
      <c r="S44" s="105"/>
      <c r="T44" s="57"/>
      <c r="U44" s="57"/>
      <c r="V44" s="57"/>
      <c r="W44" s="57"/>
      <c r="X44" s="57"/>
      <c r="Y44" s="57"/>
      <c r="Z44" s="57"/>
    </row>
    <row r="45" spans="1:27">
      <c r="A45" s="66" t="s">
        <v>116</v>
      </c>
      <c r="B45" s="80"/>
      <c r="C45" s="75">
        <f>4*25.4</f>
        <v>101.6</v>
      </c>
      <c r="D45" s="75"/>
      <c r="E45" s="107">
        <f>C6</f>
        <v>0.38099999999999995</v>
      </c>
      <c r="F45" s="108"/>
      <c r="G45" s="108"/>
      <c r="H45" s="108"/>
      <c r="I45" s="108"/>
      <c r="J45" s="108"/>
      <c r="K45" s="109">
        <v>25.4</v>
      </c>
      <c r="L45" s="102"/>
      <c r="M45" s="80"/>
      <c r="N45" s="80"/>
      <c r="O45" s="110"/>
      <c r="P45" s="75"/>
      <c r="Q45" s="106"/>
      <c r="R45" s="104"/>
      <c r="S45" s="105"/>
      <c r="T45" s="57"/>
      <c r="U45" s="57"/>
      <c r="V45" s="57"/>
      <c r="W45" s="57"/>
      <c r="X45" s="57"/>
      <c r="Y45" s="57"/>
      <c r="Z45" s="57"/>
    </row>
    <row r="46" spans="1:27">
      <c r="A46" s="66" t="s">
        <v>111</v>
      </c>
      <c r="B46" s="80"/>
      <c r="C46" s="75">
        <f>MODE(C12:D40)</f>
        <v>102</v>
      </c>
      <c r="D46" s="75"/>
      <c r="E46" s="107">
        <f>MODE(E12:G40)</f>
        <v>0.39</v>
      </c>
      <c r="F46" s="108"/>
      <c r="G46" s="108"/>
      <c r="H46" s="108"/>
      <c r="I46" s="108"/>
      <c r="J46" s="108"/>
      <c r="K46" s="109">
        <f>MODE(K12:L40)</f>
        <v>26.25</v>
      </c>
      <c r="L46" s="102"/>
      <c r="M46" s="80"/>
      <c r="N46" s="80"/>
      <c r="O46" s="110"/>
      <c r="P46" s="75"/>
      <c r="Q46" s="106"/>
      <c r="R46" s="104">
        <f>MODE(R12:R40)</f>
        <v>13.9</v>
      </c>
      <c r="S46" s="105" t="e">
        <f>MODE(S12:S40)</f>
        <v>#N/A</v>
      </c>
      <c r="T46" s="57"/>
      <c r="U46" s="57"/>
      <c r="V46" s="57"/>
      <c r="W46" s="57"/>
      <c r="X46" s="57"/>
      <c r="Y46" s="57"/>
      <c r="Z46" s="57"/>
    </row>
    <row r="47" spans="1:27">
      <c r="A47" s="66" t="s">
        <v>110</v>
      </c>
      <c r="B47" s="80"/>
      <c r="C47" s="75">
        <f>AVERAGE(C12:D40)</f>
        <v>102</v>
      </c>
      <c r="D47" s="75"/>
      <c r="E47" s="107">
        <f>AVERAGE(E12:G40)</f>
        <v>0.38482758620689661</v>
      </c>
      <c r="F47" s="108"/>
      <c r="G47" s="108"/>
      <c r="H47" s="108"/>
      <c r="I47" s="108"/>
      <c r="J47" s="108"/>
      <c r="K47" s="109">
        <f>AVERAGE(K12:L40)</f>
        <v>26.235344827586211</v>
      </c>
      <c r="L47" s="102"/>
      <c r="M47" s="80"/>
      <c r="N47" s="80"/>
      <c r="O47" s="110"/>
      <c r="P47" s="75"/>
      <c r="Q47" s="106"/>
      <c r="R47" s="104">
        <f>AVERAGE(R12:R40)</f>
        <v>13.955172413793107</v>
      </c>
      <c r="S47" s="105">
        <f>AVERAGE(S12:S40)</f>
        <v>13.552415351965426</v>
      </c>
      <c r="T47" s="57"/>
      <c r="U47" s="57"/>
      <c r="V47" s="57"/>
      <c r="W47" s="57"/>
      <c r="X47" s="57"/>
      <c r="Y47" s="57"/>
      <c r="Z47" s="57"/>
    </row>
    <row r="48" spans="1:27">
      <c r="A48" s="66" t="s">
        <v>117</v>
      </c>
      <c r="B48" s="80"/>
      <c r="C48" s="75">
        <f>STDEV(C12:D40)</f>
        <v>0</v>
      </c>
      <c r="D48" s="75"/>
      <c r="E48" s="107">
        <f>STDEV(E12:G40)</f>
        <v>6.6230866417399141E-3</v>
      </c>
      <c r="F48" s="108"/>
      <c r="G48" s="108"/>
      <c r="H48" s="108"/>
      <c r="I48" s="108"/>
      <c r="J48" s="108"/>
      <c r="K48" s="109">
        <f>STDEV(K12:L40)</f>
        <v>5.4296635456532613E-2</v>
      </c>
      <c r="L48" s="102"/>
      <c r="M48" s="80"/>
      <c r="N48" s="80"/>
      <c r="O48" s="110"/>
      <c r="P48" s="75"/>
      <c r="Q48" s="106"/>
      <c r="R48" s="104">
        <f>STDEV(R12:R40)</f>
        <v>0.30069705554208814</v>
      </c>
      <c r="S48" s="105">
        <f>STDEV(S12:S40)</f>
        <v>0.2492946688498282</v>
      </c>
      <c r="T48" s="57"/>
      <c r="U48" s="57"/>
      <c r="V48" s="57"/>
      <c r="W48" s="57"/>
      <c r="X48" s="57"/>
      <c r="Y48" s="57"/>
      <c r="Z48" s="57"/>
    </row>
    <row r="49" spans="1:26">
      <c r="A49" s="66" t="s">
        <v>118</v>
      </c>
      <c r="B49" s="80"/>
      <c r="C49" s="75">
        <f>C47+C48</f>
        <v>102</v>
      </c>
      <c r="D49" s="75"/>
      <c r="E49" s="107">
        <f>E47+E48</f>
        <v>0.39145067284863655</v>
      </c>
      <c r="F49" s="108"/>
      <c r="G49" s="108"/>
      <c r="H49" s="108"/>
      <c r="I49" s="108"/>
      <c r="J49" s="108"/>
      <c r="K49" s="109">
        <f>K47+K48</f>
        <v>26.289641463042742</v>
      </c>
      <c r="L49" s="102"/>
      <c r="M49" s="80"/>
      <c r="N49" s="80"/>
      <c r="O49" s="110"/>
      <c r="P49" s="75"/>
      <c r="Q49" s="75"/>
      <c r="R49" s="104">
        <f>R47+R48</f>
        <v>14.255869469335195</v>
      </c>
      <c r="S49" s="105">
        <f>S47+S48</f>
        <v>13.801710020815253</v>
      </c>
      <c r="T49" s="57"/>
      <c r="U49" s="57"/>
      <c r="V49" s="57"/>
      <c r="W49" s="57"/>
      <c r="X49" s="57"/>
      <c r="Y49" s="57"/>
      <c r="Z49" s="57"/>
    </row>
    <row r="50" spans="1:26">
      <c r="A50" s="66" t="s">
        <v>119</v>
      </c>
      <c r="B50" s="80"/>
      <c r="C50" s="75">
        <f>C47-C48</f>
        <v>102</v>
      </c>
      <c r="D50" s="75"/>
      <c r="E50" s="107">
        <f>E47-E48</f>
        <v>0.37820449956515667</v>
      </c>
      <c r="F50" s="108"/>
      <c r="G50" s="108"/>
      <c r="H50" s="108"/>
      <c r="I50" s="108"/>
      <c r="J50" s="108"/>
      <c r="K50" s="109">
        <f>K47-K48</f>
        <v>26.18104819212968</v>
      </c>
      <c r="L50" s="102"/>
      <c r="M50" s="80"/>
      <c r="N50" s="80"/>
      <c r="O50" s="110"/>
      <c r="P50" s="75"/>
      <c r="Q50" s="75"/>
      <c r="R50" s="104">
        <f>R47-R48</f>
        <v>13.65447535825102</v>
      </c>
      <c r="S50" s="105">
        <f>S47-S48</f>
        <v>13.303120683115598</v>
      </c>
      <c r="T50" s="57"/>
      <c r="U50" s="57"/>
      <c r="V50" s="57"/>
      <c r="W50" s="57"/>
      <c r="X50" s="57"/>
      <c r="Y50" s="57"/>
      <c r="Z50" s="57"/>
    </row>
    <row r="51" spans="1:26">
      <c r="A51" s="122" t="s">
        <v>143</v>
      </c>
      <c r="B51" s="80"/>
      <c r="C51" s="75">
        <f>MAX(C12:D40)-C45</f>
        <v>0.40000000000000568</v>
      </c>
      <c r="D51" s="75"/>
      <c r="E51" s="107">
        <f>MAX(E12:G40)-E45</f>
        <v>9.0000000000000635E-3</v>
      </c>
      <c r="F51" s="108"/>
      <c r="G51" s="108"/>
      <c r="H51" s="108"/>
      <c r="I51" s="108"/>
      <c r="J51" s="108"/>
      <c r="K51" s="109">
        <f>MAX(K12:L40)-$K$45</f>
        <v>0.95000000000000284</v>
      </c>
      <c r="L51" s="102"/>
      <c r="M51" s="80"/>
      <c r="N51" s="80"/>
      <c r="O51" s="110"/>
      <c r="P51" s="75"/>
      <c r="Q51" s="75"/>
      <c r="R51" s="104"/>
      <c r="S51" s="105"/>
      <c r="T51" s="57"/>
      <c r="U51" s="57"/>
      <c r="V51" s="57"/>
      <c r="W51" s="57"/>
      <c r="X51" s="57"/>
      <c r="Y51" s="57"/>
      <c r="Z51" s="57"/>
    </row>
    <row r="52" spans="1:26">
      <c r="A52" s="122" t="s">
        <v>144</v>
      </c>
      <c r="B52" s="80"/>
      <c r="C52" s="75">
        <f>MIN(C12:D40)-C45</f>
        <v>0.40000000000000568</v>
      </c>
      <c r="D52" s="75"/>
      <c r="E52" s="107">
        <f>MIN(E12:G40)-E45</f>
        <v>-2.0999999999999963E-2</v>
      </c>
      <c r="F52" s="108"/>
      <c r="G52" s="108"/>
      <c r="H52" s="108"/>
      <c r="I52" s="108"/>
      <c r="J52" s="108"/>
      <c r="K52" s="109">
        <f>MIN(K12:L40)-K45</f>
        <v>0.71000000000000085</v>
      </c>
      <c r="L52" s="102"/>
      <c r="M52" s="80"/>
      <c r="N52" s="80"/>
      <c r="O52" s="110"/>
      <c r="P52" s="75"/>
      <c r="Q52" s="106"/>
      <c r="R52" s="104"/>
      <c r="S52" s="105"/>
      <c r="T52" s="57"/>
      <c r="U52" s="57"/>
      <c r="V52" s="57"/>
      <c r="W52" s="57"/>
      <c r="X52" s="57"/>
      <c r="Y52" s="57"/>
      <c r="Z52" s="57"/>
    </row>
    <row r="53" spans="1:26" ht="15.75" thickBot="1">
      <c r="A53" s="66"/>
      <c r="B53" s="80"/>
      <c r="C53" s="75"/>
      <c r="D53" s="75"/>
      <c r="E53" s="107"/>
      <c r="F53" s="108"/>
      <c r="G53" s="108"/>
      <c r="H53" s="108"/>
      <c r="I53" s="108"/>
      <c r="J53" s="108"/>
      <c r="K53" s="109"/>
      <c r="L53" s="102"/>
      <c r="M53" s="80"/>
      <c r="N53" s="80"/>
      <c r="O53" s="110"/>
      <c r="P53" s="75"/>
      <c r="Q53" s="75"/>
      <c r="R53" s="104"/>
      <c r="S53" s="105"/>
      <c r="T53" s="57"/>
      <c r="U53" s="57"/>
      <c r="V53" s="57"/>
      <c r="W53" s="57"/>
      <c r="X53" s="57"/>
      <c r="Y53" s="57"/>
      <c r="Z53" s="57"/>
    </row>
    <row r="54" spans="1:26">
      <c r="A54" s="78" t="s">
        <v>146</v>
      </c>
      <c r="B54" s="80"/>
      <c r="C54" s="40" t="s">
        <v>147</v>
      </c>
      <c r="D54" s="40" t="s">
        <v>149</v>
      </c>
      <c r="E54" s="107"/>
      <c r="F54" s="108"/>
      <c r="G54" s="108"/>
      <c r="H54" s="108"/>
      <c r="I54" s="108"/>
      <c r="J54" s="108"/>
      <c r="K54" s="109"/>
      <c r="L54" s="102"/>
      <c r="M54" s="80"/>
      <c r="N54" s="80"/>
      <c r="O54" s="110"/>
      <c r="P54" s="75"/>
      <c r="Q54" s="106"/>
      <c r="R54" s="104"/>
      <c r="S54" s="105"/>
      <c r="T54" s="57"/>
      <c r="U54" s="57"/>
      <c r="V54" s="57"/>
      <c r="W54" s="57"/>
      <c r="X54" s="57"/>
      <c r="Y54" s="57"/>
      <c r="Z54" s="57"/>
    </row>
    <row r="55" spans="1:26">
      <c r="A55" s="66">
        <v>0.35</v>
      </c>
      <c r="B55" s="80"/>
      <c r="C55" s="123">
        <v>0.35</v>
      </c>
      <c r="D55" s="124">
        <v>0</v>
      </c>
      <c r="E55" s="107"/>
      <c r="F55" s="108"/>
      <c r="G55" s="108"/>
      <c r="H55" s="108"/>
      <c r="I55" s="108"/>
      <c r="J55" s="108"/>
      <c r="K55" s="109"/>
      <c r="L55" s="102"/>
      <c r="M55" s="80"/>
      <c r="N55" s="80"/>
      <c r="O55" s="110"/>
      <c r="P55" s="75"/>
      <c r="Q55" s="75"/>
      <c r="R55" s="104"/>
      <c r="S55" s="105"/>
      <c r="T55" s="57"/>
      <c r="U55" s="57"/>
      <c r="V55" s="57"/>
      <c r="W55" s="57"/>
      <c r="X55" s="57"/>
      <c r="Y55" s="57"/>
      <c r="Z55" s="57"/>
    </row>
    <row r="56" spans="1:26">
      <c r="A56" s="66">
        <f>A55+0.01</f>
        <v>0.36</v>
      </c>
      <c r="B56" s="80"/>
      <c r="C56" s="123">
        <v>0.36</v>
      </c>
      <c r="D56" s="124">
        <v>2</v>
      </c>
      <c r="E56" s="107"/>
      <c r="F56" s="108"/>
      <c r="G56" s="108"/>
      <c r="H56" s="108"/>
      <c r="I56" s="108"/>
      <c r="J56" s="108"/>
      <c r="K56" s="109"/>
      <c r="L56" s="102"/>
      <c r="M56" s="80"/>
      <c r="N56" s="80"/>
      <c r="O56" s="110"/>
      <c r="P56" s="75"/>
      <c r="Q56" s="75"/>
      <c r="R56" s="104"/>
      <c r="S56" s="105"/>
      <c r="T56" s="57"/>
      <c r="U56" s="57"/>
      <c r="V56" s="57"/>
      <c r="W56" s="57"/>
      <c r="X56" s="57"/>
      <c r="Y56" s="57"/>
      <c r="Z56" s="57"/>
    </row>
    <row r="57" spans="1:26">
      <c r="A57" s="66">
        <f t="shared" ref="A57:A59" si="3">A56+0.01</f>
        <v>0.37</v>
      </c>
      <c r="B57" s="80"/>
      <c r="C57" s="123">
        <v>0.37</v>
      </c>
      <c r="D57" s="124">
        <v>2</v>
      </c>
      <c r="E57" s="107"/>
      <c r="F57" s="108"/>
      <c r="G57" s="108"/>
      <c r="H57" s="108"/>
      <c r="I57" s="108"/>
      <c r="J57" s="108"/>
      <c r="K57" s="109"/>
      <c r="L57" s="102"/>
      <c r="M57" s="80"/>
      <c r="N57" s="80"/>
      <c r="O57" s="110"/>
      <c r="P57" s="75"/>
      <c r="Q57" s="75"/>
      <c r="R57" s="104"/>
      <c r="S57" s="105"/>
      <c r="T57" s="57"/>
      <c r="U57" s="57"/>
      <c r="V57" s="57"/>
      <c r="W57" s="57"/>
      <c r="X57" s="57"/>
      <c r="Y57" s="57"/>
      <c r="Z57" s="57"/>
    </row>
    <row r="58" spans="1:26">
      <c r="A58" s="66">
        <f t="shared" si="3"/>
        <v>0.38</v>
      </c>
      <c r="B58" s="80"/>
      <c r="C58" s="123">
        <v>0.38</v>
      </c>
      <c r="D58" s="124">
        <v>35</v>
      </c>
      <c r="E58" s="107"/>
      <c r="F58" s="108"/>
      <c r="G58" s="108"/>
      <c r="H58" s="108"/>
      <c r="I58" s="108"/>
      <c r="J58" s="108"/>
      <c r="K58" s="109"/>
      <c r="L58" s="102"/>
      <c r="M58" s="80"/>
      <c r="N58" s="80"/>
      <c r="O58" s="110"/>
      <c r="P58" s="75"/>
      <c r="Q58" s="106"/>
      <c r="R58" s="104"/>
      <c r="S58" s="105"/>
      <c r="T58" s="57"/>
      <c r="U58" s="57"/>
      <c r="V58" s="57"/>
      <c r="W58" s="57"/>
      <c r="X58" s="57"/>
      <c r="Y58" s="57"/>
      <c r="Z58" s="57"/>
    </row>
    <row r="59" spans="1:26">
      <c r="A59" s="66">
        <f t="shared" si="3"/>
        <v>0.39</v>
      </c>
      <c r="B59" s="80"/>
      <c r="C59" s="123">
        <v>0.39</v>
      </c>
      <c r="D59" s="124">
        <v>48</v>
      </c>
      <c r="E59" s="107"/>
      <c r="F59" s="108"/>
      <c r="G59" s="108"/>
      <c r="H59" s="108"/>
      <c r="I59" s="108"/>
      <c r="J59" s="108"/>
      <c r="K59" s="109"/>
      <c r="L59" s="102"/>
      <c r="M59" s="80"/>
      <c r="N59" s="80"/>
      <c r="O59" s="110"/>
      <c r="P59" s="75"/>
      <c r="Q59" s="75"/>
      <c r="R59" s="104"/>
      <c r="S59" s="105"/>
      <c r="T59" s="57"/>
      <c r="U59" s="57"/>
      <c r="V59" s="57"/>
      <c r="W59" s="57"/>
      <c r="X59" s="57"/>
      <c r="Y59" s="57"/>
      <c r="Z59" s="57"/>
    </row>
    <row r="60" spans="1:26">
      <c r="A60" s="66">
        <f>A59+0.01</f>
        <v>0.4</v>
      </c>
      <c r="B60" s="80"/>
      <c r="C60" s="123">
        <v>0.4</v>
      </c>
      <c r="D60" s="124">
        <v>0</v>
      </c>
      <c r="E60" s="107"/>
      <c r="F60" s="108"/>
      <c r="G60" s="108"/>
      <c r="H60" s="108"/>
      <c r="I60" s="108"/>
      <c r="J60" s="108"/>
      <c r="K60" s="109"/>
      <c r="L60" s="102"/>
      <c r="M60" s="80"/>
      <c r="N60" s="80"/>
      <c r="O60" s="110"/>
      <c r="P60" s="75"/>
      <c r="Q60" s="106"/>
      <c r="R60" s="104"/>
      <c r="S60" s="105"/>
      <c r="T60" s="57"/>
      <c r="U60" s="57"/>
      <c r="V60" s="57"/>
      <c r="W60" s="57"/>
      <c r="X60" s="57"/>
      <c r="Y60" s="57"/>
      <c r="Z60" s="57"/>
    </row>
    <row r="61" spans="1:26" ht="15.75" thickBot="1">
      <c r="A61" s="66"/>
      <c r="B61" s="80"/>
      <c r="C61" s="125" t="s">
        <v>148</v>
      </c>
      <c r="D61" s="125">
        <v>0</v>
      </c>
      <c r="E61" s="107"/>
      <c r="F61" s="108"/>
      <c r="G61" s="108"/>
      <c r="H61" s="108"/>
      <c r="I61" s="108"/>
      <c r="J61" s="108"/>
      <c r="K61" s="109"/>
      <c r="L61" s="102"/>
      <c r="M61" s="80"/>
      <c r="N61" s="80"/>
      <c r="O61" s="110"/>
      <c r="P61" s="75"/>
      <c r="Q61" s="106"/>
      <c r="R61" s="104"/>
      <c r="S61" s="105"/>
      <c r="T61" s="57"/>
      <c r="U61" s="57"/>
      <c r="V61" s="57"/>
      <c r="W61" s="57"/>
      <c r="X61" s="57"/>
      <c r="Y61" s="57"/>
      <c r="Z61" s="57"/>
    </row>
    <row r="62" spans="1:26">
      <c r="A62" s="66"/>
      <c r="B62" s="80"/>
      <c r="C62" s="75"/>
      <c r="D62" s="75"/>
      <c r="E62" s="107"/>
      <c r="F62" s="108"/>
      <c r="G62" s="108"/>
      <c r="H62" s="108"/>
      <c r="I62" s="108"/>
      <c r="J62" s="108"/>
      <c r="K62" s="109"/>
      <c r="L62" s="102"/>
      <c r="M62" s="80"/>
      <c r="N62" s="80"/>
      <c r="O62" s="110"/>
      <c r="P62" s="75"/>
      <c r="Q62" s="75"/>
      <c r="R62" s="104"/>
      <c r="S62" s="105"/>
      <c r="T62" s="57"/>
      <c r="U62" s="57"/>
      <c r="V62" s="57"/>
      <c r="W62" s="57"/>
      <c r="X62" s="57"/>
      <c r="Y62" s="57"/>
      <c r="Z62" s="57"/>
    </row>
    <row r="63" spans="1:26" ht="15.75">
      <c r="A63" s="11"/>
      <c r="B63" s="24"/>
      <c r="C63" s="20"/>
      <c r="D63" s="20"/>
      <c r="E63" s="13"/>
      <c r="F63" s="14"/>
      <c r="G63" s="14"/>
      <c r="H63" s="14"/>
      <c r="I63" s="14"/>
      <c r="J63" s="14"/>
      <c r="K63" s="22"/>
      <c r="L63" s="21"/>
      <c r="M63" s="24"/>
      <c r="N63" s="24"/>
      <c r="O63" s="23"/>
      <c r="P63" s="20"/>
      <c r="Q63" s="25"/>
      <c r="R63" s="12"/>
      <c r="S63" s="28"/>
    </row>
    <row r="64" spans="1:26" ht="15.75">
      <c r="A64" s="15"/>
      <c r="B64" s="24"/>
      <c r="C64" s="20"/>
      <c r="D64" s="20"/>
      <c r="E64" s="16"/>
      <c r="F64" s="14"/>
      <c r="G64" s="14"/>
      <c r="H64" s="14"/>
      <c r="I64" s="14"/>
      <c r="J64" s="14"/>
      <c r="K64" s="22"/>
      <c r="L64" s="21"/>
      <c r="M64" s="24"/>
      <c r="N64" s="23"/>
      <c r="O64" s="23"/>
      <c r="P64" s="20"/>
      <c r="Q64" s="25"/>
      <c r="R64" s="12"/>
      <c r="S64" s="28"/>
    </row>
    <row r="65" spans="1:22" s="11" customFormat="1" ht="15.75">
      <c r="A65" s="15"/>
      <c r="B65" s="24"/>
      <c r="C65" s="20"/>
      <c r="D65" s="20"/>
      <c r="E65" s="16"/>
      <c r="F65" s="14"/>
      <c r="G65" s="14"/>
      <c r="H65" s="14"/>
      <c r="I65" s="14"/>
      <c r="J65" s="14"/>
      <c r="K65" s="22"/>
      <c r="L65" s="21"/>
      <c r="M65" s="24"/>
      <c r="N65" s="24"/>
      <c r="O65" s="24"/>
      <c r="P65" s="20"/>
      <c r="Q65" s="25"/>
      <c r="R65" s="35"/>
      <c r="S65" s="27"/>
    </row>
    <row r="66" spans="1:2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</row>
    <row r="68" spans="1:22">
      <c r="A68" s="37"/>
      <c r="C68" s="761"/>
      <c r="D68" s="761"/>
      <c r="E68" s="761"/>
      <c r="F68" s="761"/>
      <c r="K68" s="761"/>
      <c r="L68" s="761"/>
      <c r="Q68" s="761"/>
      <c r="R68" s="761"/>
      <c r="S68" s="761"/>
      <c r="T68" s="761"/>
    </row>
    <row r="69" spans="1:22">
      <c r="A69" s="11"/>
    </row>
    <row r="70" spans="1:22" ht="15.75">
      <c r="K70" s="21"/>
    </row>
    <row r="72" spans="1:22">
      <c r="C72" s="26"/>
      <c r="D72" s="26"/>
      <c r="E72" s="17"/>
      <c r="K72" s="30"/>
      <c r="R72" s="12"/>
      <c r="S72" s="12"/>
    </row>
    <row r="73" spans="1:22">
      <c r="C73" s="17"/>
      <c r="E73" s="17"/>
      <c r="K73" s="17"/>
      <c r="R73" s="17"/>
      <c r="S73" s="17"/>
    </row>
    <row r="74" spans="1:22">
      <c r="A74" s="29"/>
      <c r="C74" s="26"/>
      <c r="E74" s="17"/>
      <c r="K74" s="30"/>
      <c r="R74" s="17"/>
      <c r="S74" s="12"/>
    </row>
    <row r="75" spans="1:22">
      <c r="A75" s="29"/>
      <c r="C75" s="26"/>
      <c r="E75" s="17"/>
      <c r="K75" s="30"/>
      <c r="R75" s="17"/>
      <c r="S75" s="12"/>
    </row>
    <row r="76" spans="1:22">
      <c r="A76" s="29"/>
      <c r="E76" s="17"/>
      <c r="K76" s="30"/>
    </row>
    <row r="77" spans="1:22">
      <c r="A77" s="29"/>
      <c r="E77" s="17"/>
      <c r="K77" s="30"/>
    </row>
  </sheetData>
  <sortState ref="C55:C60">
    <sortCondition ref="C55"/>
  </sortState>
  <mergeCells count="14">
    <mergeCell ref="S68:T68"/>
    <mergeCell ref="E43:F43"/>
    <mergeCell ref="K43:L43"/>
    <mergeCell ref="A1:B1"/>
    <mergeCell ref="A2:B2"/>
    <mergeCell ref="A3:B3"/>
    <mergeCell ref="C9:D9"/>
    <mergeCell ref="E9:I9"/>
    <mergeCell ref="K9:L9"/>
    <mergeCell ref="M9:P9"/>
    <mergeCell ref="C68:D68"/>
    <mergeCell ref="E68:F68"/>
    <mergeCell ref="K68:L68"/>
    <mergeCell ref="Q68:R68"/>
  </mergeCells>
  <conditionalFormatting sqref="M12:P65">
    <cfRule type="containsText" dxfId="0" priority="2" operator="containsText" text="Y">
      <formula>NOT(ISERROR(SEARCH("Y",'\Users\nicoleduncan\AppData\Local\Microsoft\Windows\Temporary Internet Files\Content.MSO\[Slat Characterization Jeren 06132012.xls]A'!A1)))</formula>
    </cfRule>
  </conditionalFormatting>
  <pageMargins left="0.2" right="0.2" top="0.5" bottom="0.5" header="0.3" footer="0.3"/>
  <pageSetup scale="95" orientation="landscape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H193"/>
  <sheetViews>
    <sheetView view="pageBreakPreview" topLeftCell="A147" zoomScale="85" zoomScaleNormal="70" zoomScaleSheetLayoutView="85" workbookViewId="0">
      <selection activeCell="AB175" sqref="AB175"/>
    </sheetView>
  </sheetViews>
  <sheetFormatPr defaultRowHeight="15"/>
  <cols>
    <col min="1" max="1" width="6.28515625" customWidth="1"/>
    <col min="2" max="2" width="16.140625" customWidth="1"/>
    <col min="3" max="4" width="5.140625" customWidth="1"/>
    <col min="5" max="9" width="5.5703125" customWidth="1"/>
    <col min="10" max="10" width="3.140625" bestFit="1" customWidth="1"/>
    <col min="11" max="12" width="6.85546875" customWidth="1"/>
    <col min="13" max="16" width="3.7109375" customWidth="1"/>
    <col min="17" max="17" width="11.28515625" customWidth="1"/>
    <col min="18" max="18" width="5.5703125" customWidth="1"/>
    <col min="19" max="19" width="5.7109375" customWidth="1"/>
    <col min="20" max="21" width="9.85546875" customWidth="1"/>
    <col min="22" max="22" width="10.140625" bestFit="1" customWidth="1"/>
    <col min="23" max="23" width="10.42578125" bestFit="1" customWidth="1"/>
    <col min="24" max="24" width="9.28515625" customWidth="1"/>
    <col min="25" max="25" width="9.5703125" customWidth="1"/>
    <col min="26" max="26" width="6.140625" customWidth="1"/>
    <col min="28" max="28" width="6.140625" style="796" customWidth="1"/>
    <col min="29" max="31" width="6.140625" customWidth="1"/>
  </cols>
  <sheetData>
    <row r="1" spans="1:34">
      <c r="A1" s="764" t="s">
        <v>0</v>
      </c>
      <c r="B1" s="764"/>
      <c r="C1" s="52"/>
      <c r="D1" s="52"/>
      <c r="E1" s="70"/>
      <c r="F1" s="70"/>
      <c r="G1" s="70"/>
      <c r="H1" s="70"/>
      <c r="I1" s="70"/>
      <c r="J1" s="70"/>
      <c r="K1" s="52"/>
      <c r="L1" s="52"/>
      <c r="M1" s="57"/>
      <c r="N1" s="52"/>
      <c r="O1" s="52"/>
      <c r="P1" s="52"/>
      <c r="Q1" s="57"/>
      <c r="R1" s="127"/>
      <c r="S1" s="127"/>
      <c r="T1" s="127"/>
      <c r="U1" s="127"/>
      <c r="V1" s="52"/>
      <c r="W1" s="57"/>
      <c r="X1" s="52"/>
      <c r="Y1" s="52"/>
      <c r="Z1" s="52"/>
      <c r="AB1" s="788"/>
      <c r="AC1" s="52"/>
      <c r="AD1" s="52"/>
      <c r="AE1" s="57"/>
      <c r="AF1" s="57"/>
      <c r="AG1" s="57"/>
      <c r="AH1" s="57"/>
    </row>
    <row r="2" spans="1:34">
      <c r="A2" s="764" t="s">
        <v>1</v>
      </c>
      <c r="B2" s="764"/>
      <c r="C2" s="52"/>
      <c r="D2" s="52"/>
      <c r="E2" s="70"/>
      <c r="F2" s="70"/>
      <c r="G2" s="70"/>
      <c r="H2" s="70"/>
      <c r="I2" s="70"/>
      <c r="J2" s="70"/>
      <c r="K2" s="52"/>
      <c r="L2" s="52"/>
      <c r="M2" s="57"/>
      <c r="N2" s="52"/>
      <c r="O2" s="52"/>
      <c r="P2" s="52"/>
      <c r="Q2" s="57"/>
      <c r="R2" s="127"/>
      <c r="S2" s="127"/>
      <c r="T2" s="127"/>
      <c r="U2" s="127"/>
      <c r="V2" s="52"/>
      <c r="W2" s="57"/>
      <c r="X2" s="52"/>
      <c r="Y2" s="52"/>
      <c r="Z2" s="52"/>
      <c r="AB2" s="788"/>
      <c r="AC2" s="52"/>
      <c r="AD2" s="52"/>
      <c r="AE2" s="57"/>
      <c r="AF2" s="57"/>
      <c r="AG2" s="57"/>
      <c r="AH2" s="57"/>
    </row>
    <row r="3" spans="1:34">
      <c r="A3" s="764" t="s">
        <v>58</v>
      </c>
      <c r="B3" s="764"/>
      <c r="C3" s="52"/>
      <c r="D3" s="52"/>
      <c r="E3" s="70"/>
      <c r="F3" s="70"/>
      <c r="G3" s="70"/>
      <c r="H3" s="70"/>
      <c r="I3" s="70"/>
      <c r="J3" s="70"/>
      <c r="K3" s="52"/>
      <c r="L3" s="52"/>
      <c r="M3" s="57"/>
      <c r="N3" s="52"/>
      <c r="O3" s="52"/>
      <c r="P3" s="52"/>
      <c r="Q3" s="57"/>
      <c r="R3" s="127"/>
      <c r="S3" s="127"/>
      <c r="T3" s="127"/>
      <c r="U3" s="127"/>
      <c r="V3" s="52"/>
      <c r="W3" s="57"/>
      <c r="X3" s="52"/>
      <c r="Y3" s="52"/>
      <c r="Z3" s="52"/>
      <c r="AB3" s="788"/>
      <c r="AC3" s="52"/>
      <c r="AD3" s="52"/>
      <c r="AE3" s="57"/>
      <c r="AF3" s="57"/>
      <c r="AG3" s="57"/>
      <c r="AH3" s="57"/>
    </row>
    <row r="4" spans="1:34">
      <c r="A4" s="57"/>
      <c r="B4" s="52"/>
      <c r="C4" s="52"/>
      <c r="D4" s="52"/>
      <c r="E4" s="70"/>
      <c r="F4" s="70"/>
      <c r="G4" s="70"/>
      <c r="H4" s="70"/>
      <c r="I4" s="70"/>
      <c r="J4" s="70"/>
      <c r="K4" s="52"/>
      <c r="L4" s="52"/>
      <c r="M4" s="57"/>
      <c r="N4" s="52"/>
      <c r="O4" s="52"/>
      <c r="P4" s="52"/>
      <c r="Q4" s="57"/>
      <c r="R4" s="127"/>
      <c r="S4" s="127"/>
      <c r="T4" s="127"/>
      <c r="U4" s="127"/>
      <c r="V4" s="52"/>
      <c r="W4" s="57"/>
      <c r="X4" s="52"/>
      <c r="Y4" s="52"/>
      <c r="Z4" s="52"/>
      <c r="AB4" s="788"/>
      <c r="AC4" s="52"/>
      <c r="AD4" s="52"/>
      <c r="AE4" s="57"/>
      <c r="AF4" s="57"/>
      <c r="AG4" s="57"/>
      <c r="AH4" s="57"/>
    </row>
    <row r="5" spans="1:34">
      <c r="A5" s="57"/>
      <c r="B5" s="52" t="s">
        <v>112</v>
      </c>
      <c r="C5" s="52" t="s">
        <v>113</v>
      </c>
      <c r="D5" s="52"/>
      <c r="E5" s="70"/>
      <c r="F5" s="70"/>
      <c r="G5" s="70"/>
      <c r="H5" s="70"/>
      <c r="I5" s="70"/>
      <c r="J5" s="70"/>
      <c r="K5" s="52"/>
      <c r="L5" s="52"/>
      <c r="M5" s="57"/>
      <c r="N5" s="52"/>
      <c r="O5" s="52"/>
      <c r="P5" s="52"/>
      <c r="Q5" s="57"/>
      <c r="R5" s="127"/>
      <c r="S5" s="127"/>
      <c r="T5" s="127"/>
      <c r="U5" s="127"/>
      <c r="V5" s="52"/>
      <c r="W5" s="57"/>
      <c r="X5" s="52"/>
      <c r="Y5" s="52"/>
      <c r="Z5" s="52"/>
      <c r="AB5" s="788"/>
      <c r="AC5" s="52"/>
      <c r="AD5" s="52"/>
      <c r="AE5" s="57"/>
      <c r="AF5" s="57"/>
      <c r="AG5" s="57"/>
      <c r="AH5" s="57"/>
    </row>
    <row r="6" spans="1:34">
      <c r="A6" s="57" t="s">
        <v>66</v>
      </c>
      <c r="B6" s="52">
        <v>0.02</v>
      </c>
      <c r="C6" s="52">
        <f>B6*25.4</f>
        <v>0.50800000000000001</v>
      </c>
      <c r="D6" s="52"/>
      <c r="E6" s="70"/>
      <c r="F6" s="70"/>
      <c r="G6" s="70"/>
      <c r="H6" s="70"/>
      <c r="I6" s="70"/>
      <c r="J6" s="70"/>
      <c r="K6" s="52"/>
      <c r="L6" s="52"/>
      <c r="M6" s="57"/>
      <c r="N6" s="52"/>
      <c r="O6" s="52"/>
      <c r="P6" s="52"/>
      <c r="Q6" s="57"/>
      <c r="R6" s="127"/>
      <c r="S6" s="127"/>
      <c r="T6" s="127"/>
      <c r="U6" s="127"/>
      <c r="V6" s="52"/>
      <c r="W6" s="57"/>
      <c r="X6" s="52"/>
      <c r="Y6" s="52"/>
      <c r="Z6" s="52"/>
      <c r="AB6" s="788"/>
      <c r="AC6" s="52"/>
      <c r="AD6" s="52"/>
      <c r="AE6" s="57"/>
      <c r="AF6" s="57"/>
      <c r="AG6" s="57"/>
      <c r="AH6" s="57"/>
    </row>
    <row r="7" spans="1:34">
      <c r="A7" s="57"/>
      <c r="B7" s="52"/>
      <c r="C7" s="52"/>
      <c r="D7" s="52"/>
      <c r="E7" s="70"/>
      <c r="F7" s="70"/>
      <c r="G7" s="70"/>
      <c r="H7" s="70"/>
      <c r="I7" s="70"/>
      <c r="J7" s="70"/>
      <c r="K7" s="52"/>
      <c r="L7" s="52"/>
      <c r="M7" s="57"/>
      <c r="N7" s="52"/>
      <c r="O7" s="52"/>
      <c r="P7" s="52"/>
      <c r="Q7" s="57"/>
      <c r="R7" s="127"/>
      <c r="S7" s="127"/>
      <c r="T7" s="127"/>
      <c r="U7" s="127"/>
      <c r="V7" s="52"/>
      <c r="W7" s="57"/>
      <c r="X7" s="52"/>
      <c r="Y7" s="52"/>
      <c r="Z7" s="52"/>
      <c r="AB7" s="788"/>
      <c r="AC7" s="52"/>
      <c r="AD7" s="52"/>
      <c r="AE7" s="57"/>
      <c r="AF7" s="57"/>
      <c r="AG7" s="57"/>
      <c r="AH7" s="57"/>
    </row>
    <row r="8" spans="1:34">
      <c r="A8" s="3" t="s">
        <v>115</v>
      </c>
      <c r="B8" s="52"/>
      <c r="C8" s="52"/>
      <c r="D8" s="52"/>
      <c r="E8" s="70"/>
      <c r="F8" s="70"/>
      <c r="G8" s="70"/>
      <c r="H8" s="70"/>
      <c r="I8" s="70"/>
      <c r="J8" s="70"/>
      <c r="K8" s="52"/>
      <c r="L8" s="52"/>
      <c r="M8" s="57"/>
      <c r="N8" s="52"/>
      <c r="O8" s="52"/>
      <c r="P8" s="52"/>
      <c r="Q8" s="57"/>
      <c r="R8" s="127"/>
      <c r="S8" s="127"/>
      <c r="T8" s="127"/>
      <c r="U8" s="127"/>
      <c r="V8" s="3" t="s">
        <v>157</v>
      </c>
      <c r="W8" s="57"/>
      <c r="X8" s="52"/>
      <c r="Z8" s="52"/>
      <c r="AB8" s="788"/>
      <c r="AC8" s="52"/>
      <c r="AD8" s="52"/>
      <c r="AE8" s="57"/>
      <c r="AF8" s="57"/>
      <c r="AG8" s="57"/>
      <c r="AH8" s="57"/>
    </row>
    <row r="9" spans="1:34" ht="45">
      <c r="A9" s="111" t="s">
        <v>216</v>
      </c>
      <c r="B9" s="128" t="s">
        <v>60</v>
      </c>
      <c r="C9" s="767" t="s">
        <v>61</v>
      </c>
      <c r="D9" s="768"/>
      <c r="E9" s="766" t="s">
        <v>62</v>
      </c>
      <c r="F9" s="766"/>
      <c r="G9" s="766"/>
      <c r="H9" s="766"/>
      <c r="I9" s="766"/>
      <c r="J9" s="129"/>
      <c r="K9" s="767" t="s">
        <v>63</v>
      </c>
      <c r="L9" s="768"/>
      <c r="M9" s="767" t="s">
        <v>64</v>
      </c>
      <c r="N9" s="765"/>
      <c r="O9" s="765"/>
      <c r="P9" s="765"/>
      <c r="Q9" s="130" t="s">
        <v>91</v>
      </c>
      <c r="R9" s="151" t="s">
        <v>65</v>
      </c>
      <c r="S9" s="131" t="s">
        <v>109</v>
      </c>
      <c r="T9" s="152" t="s">
        <v>101</v>
      </c>
      <c r="U9" s="152"/>
      <c r="V9" s="152" t="s">
        <v>216</v>
      </c>
      <c r="W9" s="152" t="s">
        <v>67</v>
      </c>
      <c r="X9" s="133" t="s">
        <v>123</v>
      </c>
      <c r="Y9" s="134" t="s">
        <v>155</v>
      </c>
      <c r="Z9" s="152" t="s">
        <v>196</v>
      </c>
      <c r="AA9" s="252" t="s">
        <v>223</v>
      </c>
      <c r="AB9" s="789" t="s">
        <v>628</v>
      </c>
      <c r="AC9" s="57"/>
      <c r="AD9" s="57"/>
      <c r="AE9" s="57"/>
      <c r="AF9" s="57"/>
      <c r="AG9" s="57"/>
      <c r="AH9" s="57"/>
    </row>
    <row r="10" spans="1:34" s="26" customFormat="1">
      <c r="A10" s="118"/>
      <c r="B10" s="119"/>
      <c r="C10" s="156">
        <v>1</v>
      </c>
      <c r="D10" s="157">
        <v>2</v>
      </c>
      <c r="E10" s="119">
        <v>1</v>
      </c>
      <c r="F10" s="119">
        <v>2</v>
      </c>
      <c r="G10" s="119">
        <v>3</v>
      </c>
      <c r="H10" s="119">
        <v>4</v>
      </c>
      <c r="I10" s="119">
        <v>5</v>
      </c>
      <c r="J10" s="119">
        <v>6</v>
      </c>
      <c r="K10" s="135">
        <v>1</v>
      </c>
      <c r="L10" s="136">
        <v>2</v>
      </c>
      <c r="M10" s="135">
        <v>1</v>
      </c>
      <c r="N10" s="119">
        <v>2</v>
      </c>
      <c r="O10" s="119">
        <v>3</v>
      </c>
      <c r="P10" s="120">
        <v>4</v>
      </c>
      <c r="Q10" s="137"/>
      <c r="R10" s="158"/>
      <c r="S10" s="137"/>
      <c r="T10" s="138"/>
      <c r="U10" s="138"/>
      <c r="V10" s="138"/>
      <c r="W10" s="138"/>
      <c r="X10" s="138"/>
      <c r="Y10" s="138"/>
      <c r="Z10" s="138"/>
      <c r="AA10" s="44"/>
      <c r="AB10" s="790"/>
      <c r="AC10" s="121"/>
      <c r="AD10" s="121"/>
      <c r="AE10" s="121"/>
      <c r="AF10" s="121"/>
      <c r="AG10" s="121"/>
      <c r="AH10" s="121"/>
    </row>
    <row r="11" spans="1:34">
      <c r="A11" s="66"/>
      <c r="B11" s="61"/>
      <c r="C11" s="60"/>
      <c r="D11" s="159"/>
      <c r="E11" s="71"/>
      <c r="F11" s="71"/>
      <c r="G11" s="71"/>
      <c r="H11" s="71"/>
      <c r="I11" s="71"/>
      <c r="J11" s="71"/>
      <c r="K11" s="60"/>
      <c r="L11" s="159"/>
      <c r="M11" s="60"/>
      <c r="N11" s="61"/>
      <c r="O11" s="61"/>
      <c r="P11" s="61"/>
      <c r="Q11" s="140"/>
      <c r="R11" s="63"/>
      <c r="S11" s="160"/>
      <c r="T11" s="143"/>
      <c r="U11" s="143"/>
      <c r="V11" s="143"/>
      <c r="W11" s="143"/>
      <c r="X11" s="142"/>
      <c r="Y11" s="143"/>
      <c r="Z11" s="143"/>
      <c r="AA11" s="45"/>
      <c r="AB11" s="791"/>
      <c r="AC11" s="57"/>
      <c r="AD11" s="57"/>
      <c r="AE11" s="57"/>
      <c r="AF11" s="57"/>
      <c r="AG11" s="57"/>
      <c r="AH11" s="57"/>
    </row>
    <row r="12" spans="1:34">
      <c r="A12" s="47">
        <v>0</v>
      </c>
      <c r="B12" s="52" t="s">
        <v>98</v>
      </c>
      <c r="C12" s="53">
        <v>204</v>
      </c>
      <c r="D12" s="54">
        <v>204</v>
      </c>
      <c r="E12" s="55">
        <v>0.52</v>
      </c>
      <c r="F12" s="56">
        <v>0.51</v>
      </c>
      <c r="G12" s="56">
        <v>0.52</v>
      </c>
      <c r="H12" s="56">
        <v>0.52</v>
      </c>
      <c r="I12" s="56">
        <v>0.52</v>
      </c>
      <c r="J12" s="57"/>
      <c r="K12" s="58">
        <v>28.55</v>
      </c>
      <c r="L12" s="59">
        <v>28.82</v>
      </c>
      <c r="M12" s="60" t="s">
        <v>89</v>
      </c>
      <c r="N12" s="61"/>
      <c r="O12" s="61"/>
      <c r="P12" s="61" t="s">
        <v>89</v>
      </c>
      <c r="Q12" s="62" t="s">
        <v>93</v>
      </c>
      <c r="R12" s="63">
        <v>41.7</v>
      </c>
      <c r="S12" s="64">
        <f t="shared" ref="S12:S43" si="0">R12/(AVERAGE(C12:D12)*AVERAGE(E12:J12)*AVERAGE(K12:L12)*0.001)</f>
        <v>13.756921958585055</v>
      </c>
      <c r="T12" s="143">
        <v>1</v>
      </c>
      <c r="U12" s="143"/>
      <c r="V12" s="250">
        <v>0</v>
      </c>
      <c r="W12" s="249">
        <f>MAX(E12:I12)-MIN(E12:I12)</f>
        <v>1.0000000000000009E-2</v>
      </c>
      <c r="X12" s="143">
        <f t="shared" ref="X12:X43" si="1">IF(OR(ABS(E12-$C$6)&gt;($C$6*0.1),ABS(F12-$C$6)&gt;($C$6*0.1),ABS(G12-$C$6)&gt;($C$6*0.1),ABS(H12-$C$6)&gt;($C$6*0.1),ABS(I12-$C$6)&gt;($C$6*0.1)),1,0)</f>
        <v>0</v>
      </c>
      <c r="Y12" s="143">
        <f>IF(OR(K12&gt;Cuts!$B$16, L12&gt;Cuts!B$16), 1,0)</f>
        <v>1</v>
      </c>
      <c r="Z12" s="246">
        <f>IF(OR(C12&gt;Cuts!$C$16, D12&gt;Cuts!$C$16),1,0)</f>
        <v>0</v>
      </c>
      <c r="AA12" s="306">
        <f t="shared" ref="AA12:AA43" si="2">IF(OR(M12="Y",N12="Y",O12="Y",P12="Y"),1,0)</f>
        <v>0</v>
      </c>
      <c r="AB12" s="792" t="s">
        <v>630</v>
      </c>
      <c r="AC12" s="57"/>
      <c r="AD12" s="57"/>
      <c r="AE12" s="57"/>
      <c r="AF12" s="57"/>
      <c r="AG12" s="57"/>
      <c r="AH12" s="57"/>
    </row>
    <row r="13" spans="1:34">
      <c r="A13" s="66">
        <v>1</v>
      </c>
      <c r="B13" s="67"/>
      <c r="C13" s="68">
        <v>204</v>
      </c>
      <c r="D13" s="69">
        <v>204</v>
      </c>
      <c r="E13" s="70">
        <v>0.49</v>
      </c>
      <c r="F13" s="70">
        <v>0.49</v>
      </c>
      <c r="G13" s="70">
        <v>0.5</v>
      </c>
      <c r="H13" s="70">
        <v>0.49</v>
      </c>
      <c r="I13" s="71">
        <v>0.49</v>
      </c>
      <c r="J13" s="71"/>
      <c r="K13" s="72">
        <v>26.21</v>
      </c>
      <c r="L13" s="73">
        <v>26.05</v>
      </c>
      <c r="M13" s="74"/>
      <c r="N13" s="67"/>
      <c r="O13" s="67"/>
      <c r="P13" s="75" t="s">
        <v>89</v>
      </c>
      <c r="Q13" s="76" t="s">
        <v>92</v>
      </c>
      <c r="R13" s="63">
        <v>36.1</v>
      </c>
      <c r="S13" s="64">
        <f t="shared" si="0"/>
        <v>13.764882926963486</v>
      </c>
      <c r="T13" s="143">
        <v>3</v>
      </c>
      <c r="U13" s="143"/>
      <c r="V13" s="143">
        <v>1</v>
      </c>
      <c r="W13" s="249">
        <f>MAX(E13:I13)-MIN(E13:I13)</f>
        <v>1.0000000000000009E-2</v>
      </c>
      <c r="X13" s="143">
        <f t="shared" si="1"/>
        <v>0</v>
      </c>
      <c r="Y13" s="143">
        <f>IF(OR(K13&gt;Cuts!$B$16, L13&gt;Cuts!B$16), 1,0)</f>
        <v>0</v>
      </c>
      <c r="Z13" s="246">
        <f>IF(OR(C13&gt;Cuts!$C$16, D13&gt;Cuts!$C$16),1,0)</f>
        <v>0</v>
      </c>
      <c r="AA13" s="306">
        <f t="shared" si="2"/>
        <v>0</v>
      </c>
      <c r="AB13" s="793"/>
      <c r="AC13" s="57"/>
      <c r="AD13" s="57"/>
      <c r="AE13" s="57"/>
      <c r="AF13" s="57"/>
      <c r="AG13" s="57"/>
      <c r="AH13" s="57"/>
    </row>
    <row r="14" spans="1:34">
      <c r="A14" s="66">
        <v>2</v>
      </c>
      <c r="B14" s="67"/>
      <c r="C14" s="68">
        <v>204</v>
      </c>
      <c r="D14" s="69">
        <v>204</v>
      </c>
      <c r="E14" s="70">
        <v>0.5</v>
      </c>
      <c r="F14" s="70">
        <v>0.5</v>
      </c>
      <c r="G14" s="70">
        <v>0.5</v>
      </c>
      <c r="H14" s="70">
        <v>0.5</v>
      </c>
      <c r="I14" s="71">
        <v>0.49</v>
      </c>
      <c r="J14" s="71"/>
      <c r="K14" s="72">
        <v>26.09</v>
      </c>
      <c r="L14" s="73">
        <v>26.17</v>
      </c>
      <c r="M14" s="74"/>
      <c r="N14" s="67" t="s">
        <v>89</v>
      </c>
      <c r="O14" s="67"/>
      <c r="P14" s="75"/>
      <c r="Q14" s="76" t="s">
        <v>96</v>
      </c>
      <c r="R14" s="63">
        <v>36</v>
      </c>
      <c r="S14" s="64">
        <f t="shared" si="0"/>
        <v>13.561370490403563</v>
      </c>
      <c r="T14" s="143">
        <v>3</v>
      </c>
      <c r="U14" s="143"/>
      <c r="V14" s="143">
        <v>2</v>
      </c>
      <c r="W14" s="249">
        <f t="shared" ref="W14:W77" si="3">MAX(E14:I14)-MIN(E14:I14)</f>
        <v>1.0000000000000009E-2</v>
      </c>
      <c r="X14" s="143">
        <f t="shared" si="1"/>
        <v>0</v>
      </c>
      <c r="Y14" s="143">
        <f>IF(OR(K14&gt;Cuts!$B$16, L14&gt;Cuts!B$16), 1,0)</f>
        <v>0</v>
      </c>
      <c r="Z14" s="246">
        <f>IF(OR(C14&gt;Cuts!$C$16, D14&gt;Cuts!$C$16),1,0)</f>
        <v>0</v>
      </c>
      <c r="AA14" s="306">
        <f t="shared" si="2"/>
        <v>0</v>
      </c>
      <c r="AB14" s="793"/>
      <c r="AC14" s="57"/>
      <c r="AD14" s="57"/>
      <c r="AE14" s="57"/>
      <c r="AF14" s="57"/>
      <c r="AG14" s="57"/>
      <c r="AH14" s="57"/>
    </row>
    <row r="15" spans="1:34">
      <c r="A15" s="66">
        <v>3</v>
      </c>
      <c r="B15" s="67"/>
      <c r="C15" s="68">
        <v>204</v>
      </c>
      <c r="D15" s="69">
        <v>204</v>
      </c>
      <c r="E15" s="70">
        <v>0.49</v>
      </c>
      <c r="F15" s="70">
        <v>0.5</v>
      </c>
      <c r="G15" s="70">
        <v>0.5</v>
      </c>
      <c r="H15" s="70">
        <v>0.5</v>
      </c>
      <c r="I15" s="71">
        <v>0.5</v>
      </c>
      <c r="J15" s="71"/>
      <c r="K15" s="72">
        <v>26.24</v>
      </c>
      <c r="L15" s="73">
        <v>26.3</v>
      </c>
      <c r="M15" s="74"/>
      <c r="N15" s="67"/>
      <c r="O15" s="67"/>
      <c r="P15" s="75"/>
      <c r="Q15" s="77"/>
      <c r="R15" s="63">
        <v>35.700000000000003</v>
      </c>
      <c r="S15" s="64">
        <f t="shared" si="0"/>
        <v>13.376689093641408</v>
      </c>
      <c r="T15" s="143">
        <v>3</v>
      </c>
      <c r="U15" s="143"/>
      <c r="V15" s="143">
        <v>3</v>
      </c>
      <c r="W15" s="249">
        <f t="shared" si="3"/>
        <v>1.0000000000000009E-2</v>
      </c>
      <c r="X15" s="143">
        <f t="shared" si="1"/>
        <v>0</v>
      </c>
      <c r="Y15" s="143">
        <f>IF(OR(K15&gt;Cuts!$B$16, L15&gt;Cuts!B$16), 1,0)</f>
        <v>0</v>
      </c>
      <c r="Z15" s="246">
        <f>IF(OR(C15&gt;Cuts!$C$16, D15&gt;Cuts!$C$16),1,0)</f>
        <v>0</v>
      </c>
      <c r="AA15" s="306">
        <f t="shared" si="2"/>
        <v>0</v>
      </c>
      <c r="AB15" s="793"/>
      <c r="AC15" s="57"/>
      <c r="AD15" s="57"/>
      <c r="AE15" s="57"/>
      <c r="AF15" s="57"/>
      <c r="AG15" s="57"/>
      <c r="AH15" s="57"/>
    </row>
    <row r="16" spans="1:34">
      <c r="A16" s="66">
        <v>4</v>
      </c>
      <c r="B16" s="67"/>
      <c r="C16" s="68">
        <v>204</v>
      </c>
      <c r="D16" s="69">
        <v>204</v>
      </c>
      <c r="E16" s="70">
        <v>0.51</v>
      </c>
      <c r="F16" s="70">
        <v>0.5</v>
      </c>
      <c r="G16" s="70">
        <v>0.51</v>
      </c>
      <c r="H16" s="70">
        <v>0.51</v>
      </c>
      <c r="I16" s="71">
        <v>0.51</v>
      </c>
      <c r="J16" s="71"/>
      <c r="K16" s="72">
        <v>26.17</v>
      </c>
      <c r="L16" s="73">
        <v>26.25</v>
      </c>
      <c r="M16" s="74"/>
      <c r="N16" s="67" t="s">
        <v>89</v>
      </c>
      <c r="O16" s="67" t="s">
        <v>89</v>
      </c>
      <c r="P16" s="75" t="s">
        <v>89</v>
      </c>
      <c r="Q16" s="76" t="s">
        <v>93</v>
      </c>
      <c r="R16" s="63">
        <v>35.4</v>
      </c>
      <c r="S16" s="64">
        <f t="shared" si="0"/>
        <v>13.032938963963524</v>
      </c>
      <c r="T16" s="143">
        <v>3</v>
      </c>
      <c r="U16" s="143"/>
      <c r="V16" s="143">
        <v>4</v>
      </c>
      <c r="W16" s="249">
        <f t="shared" si="3"/>
        <v>1.0000000000000009E-2</v>
      </c>
      <c r="X16" s="143">
        <f t="shared" si="1"/>
        <v>0</v>
      </c>
      <c r="Y16" s="143">
        <f>IF(OR(K16&gt;Cuts!$B$16, L16&gt;Cuts!B$16), 1,0)</f>
        <v>0</v>
      </c>
      <c r="Z16" s="246">
        <f>IF(OR(C16&gt;Cuts!$C$16, D16&gt;Cuts!$C$16),1,0)</f>
        <v>0</v>
      </c>
      <c r="AA16" s="306">
        <f t="shared" si="2"/>
        <v>0</v>
      </c>
      <c r="AB16" s="793"/>
      <c r="AC16" s="57"/>
      <c r="AD16" s="57"/>
      <c r="AE16" s="57"/>
      <c r="AF16" s="57"/>
      <c r="AG16" s="57"/>
      <c r="AH16" s="57"/>
    </row>
    <row r="17" spans="1:34">
      <c r="A17" s="66">
        <v>5</v>
      </c>
      <c r="B17" s="67"/>
      <c r="C17" s="68">
        <v>204</v>
      </c>
      <c r="D17" s="69">
        <v>204</v>
      </c>
      <c r="E17" s="70">
        <v>0.51</v>
      </c>
      <c r="F17" s="70">
        <v>0.51</v>
      </c>
      <c r="G17" s="70">
        <v>0.5</v>
      </c>
      <c r="H17" s="70">
        <v>0.51</v>
      </c>
      <c r="I17" s="71">
        <v>0.51</v>
      </c>
      <c r="J17" s="71"/>
      <c r="K17" s="72">
        <v>26.23</v>
      </c>
      <c r="L17" s="73">
        <v>26.39</v>
      </c>
      <c r="M17" s="74" t="s">
        <v>89</v>
      </c>
      <c r="N17" s="67"/>
      <c r="O17" s="67" t="s">
        <v>88</v>
      </c>
      <c r="P17" s="75"/>
      <c r="Q17" s="76" t="s">
        <v>92</v>
      </c>
      <c r="R17" s="63">
        <v>36.5</v>
      </c>
      <c r="S17" s="64">
        <f t="shared" si="0"/>
        <v>13.38684197106658</v>
      </c>
      <c r="T17" s="143">
        <v>3</v>
      </c>
      <c r="U17" s="143"/>
      <c r="V17" s="143">
        <v>5</v>
      </c>
      <c r="W17" s="249">
        <f t="shared" si="3"/>
        <v>1.0000000000000009E-2</v>
      </c>
      <c r="X17" s="143">
        <f t="shared" si="1"/>
        <v>0</v>
      </c>
      <c r="Y17" s="143">
        <f>IF(OR(K17&gt;Cuts!$B$16, L17&gt;Cuts!B$16), 1,0)</f>
        <v>0</v>
      </c>
      <c r="Z17" s="246">
        <f>IF(OR(C17&gt;Cuts!$C$16, D17&gt;Cuts!$C$16),1,0)</f>
        <v>0</v>
      </c>
      <c r="AA17" s="306">
        <f t="shared" si="2"/>
        <v>1</v>
      </c>
      <c r="AB17" s="793"/>
      <c r="AC17" s="57"/>
      <c r="AD17" s="57"/>
      <c r="AE17" s="57"/>
      <c r="AF17" s="57"/>
      <c r="AG17" s="57"/>
      <c r="AH17" s="57"/>
    </row>
    <row r="18" spans="1:34">
      <c r="A18" s="66">
        <v>6</v>
      </c>
      <c r="B18" s="67"/>
      <c r="C18" s="68">
        <v>204</v>
      </c>
      <c r="D18" s="69">
        <v>204</v>
      </c>
      <c r="E18" s="70">
        <v>0.5</v>
      </c>
      <c r="F18" s="70">
        <v>0.5</v>
      </c>
      <c r="G18" s="70">
        <v>0.5</v>
      </c>
      <c r="H18" s="70">
        <v>0.5</v>
      </c>
      <c r="I18" s="71">
        <v>0.49</v>
      </c>
      <c r="J18" s="71"/>
      <c r="K18" s="72">
        <v>26.11</v>
      </c>
      <c r="L18" s="73">
        <v>26.17</v>
      </c>
      <c r="M18" s="74"/>
      <c r="N18" s="67" t="s">
        <v>88</v>
      </c>
      <c r="O18" s="67"/>
      <c r="P18" s="75"/>
      <c r="Q18" s="76" t="s">
        <v>93</v>
      </c>
      <c r="R18" s="63">
        <v>35.5</v>
      </c>
      <c r="S18" s="64">
        <f t="shared" si="0"/>
        <v>13.367902201240863</v>
      </c>
      <c r="T18" s="143">
        <v>3</v>
      </c>
      <c r="U18" s="143"/>
      <c r="V18" s="143">
        <v>6</v>
      </c>
      <c r="W18" s="249">
        <f t="shared" si="3"/>
        <v>1.0000000000000009E-2</v>
      </c>
      <c r="X18" s="143">
        <f t="shared" si="1"/>
        <v>0</v>
      </c>
      <c r="Y18" s="143">
        <f>IF(OR(K18&gt;Cuts!$B$16, L18&gt;Cuts!B$16), 1,0)</f>
        <v>0</v>
      </c>
      <c r="Z18" s="246">
        <f>IF(OR(C18&gt;Cuts!$C$16, D18&gt;Cuts!$C$16),1,0)</f>
        <v>0</v>
      </c>
      <c r="AA18" s="306">
        <f t="shared" si="2"/>
        <v>1</v>
      </c>
      <c r="AB18" s="793"/>
      <c r="AC18" s="57"/>
      <c r="AD18" s="57"/>
      <c r="AE18" s="57"/>
      <c r="AF18" s="57"/>
      <c r="AG18" s="57"/>
      <c r="AH18" s="57"/>
    </row>
    <row r="19" spans="1:34">
      <c r="A19" s="66">
        <v>7</v>
      </c>
      <c r="B19" s="67"/>
      <c r="C19" s="68">
        <v>204</v>
      </c>
      <c r="D19" s="69">
        <v>204</v>
      </c>
      <c r="E19" s="70">
        <v>0.49</v>
      </c>
      <c r="F19" s="70">
        <v>0.49</v>
      </c>
      <c r="G19" s="70">
        <v>0.49</v>
      </c>
      <c r="H19" s="70">
        <v>0.49</v>
      </c>
      <c r="I19" s="71">
        <v>0.5</v>
      </c>
      <c r="J19" s="71"/>
      <c r="K19" s="72">
        <v>26.07</v>
      </c>
      <c r="L19" s="73">
        <v>26.14</v>
      </c>
      <c r="M19" s="74"/>
      <c r="N19" s="67"/>
      <c r="O19" s="67" t="s">
        <v>89</v>
      </c>
      <c r="P19" s="75"/>
      <c r="Q19" s="76" t="s">
        <v>93</v>
      </c>
      <c r="R19" s="63">
        <v>35.299999999999997</v>
      </c>
      <c r="S19" s="64">
        <f t="shared" si="0"/>
        <v>13.472734071617786</v>
      </c>
      <c r="T19" s="143">
        <v>3</v>
      </c>
      <c r="U19" s="143"/>
      <c r="V19" s="143">
        <v>7</v>
      </c>
      <c r="W19" s="249">
        <f t="shared" si="3"/>
        <v>1.0000000000000009E-2</v>
      </c>
      <c r="X19" s="143">
        <f t="shared" si="1"/>
        <v>0</v>
      </c>
      <c r="Y19" s="143">
        <f>IF(OR(K19&gt;Cuts!$B$16, L19&gt;Cuts!B$16), 1,0)</f>
        <v>0</v>
      </c>
      <c r="Z19" s="246">
        <f>IF(OR(C19&gt;Cuts!$C$16, D19&gt;Cuts!$C$16),1,0)</f>
        <v>0</v>
      </c>
      <c r="AA19" s="306">
        <f t="shared" si="2"/>
        <v>0</v>
      </c>
      <c r="AB19" s="793"/>
      <c r="AC19" s="57"/>
      <c r="AD19" s="57"/>
      <c r="AE19" s="57"/>
      <c r="AF19" s="57"/>
      <c r="AG19" s="57"/>
      <c r="AH19" s="57"/>
    </row>
    <row r="20" spans="1:34">
      <c r="A20" s="66">
        <v>8</v>
      </c>
      <c r="B20" s="67"/>
      <c r="C20" s="68">
        <v>204</v>
      </c>
      <c r="D20" s="69">
        <v>204</v>
      </c>
      <c r="E20" s="70">
        <v>0.51</v>
      </c>
      <c r="F20" s="70">
        <v>0.5</v>
      </c>
      <c r="G20" s="70">
        <v>0.5</v>
      </c>
      <c r="H20" s="70">
        <v>0.5</v>
      </c>
      <c r="I20" s="71">
        <v>0.5</v>
      </c>
      <c r="J20" s="71"/>
      <c r="K20" s="72">
        <v>26.07</v>
      </c>
      <c r="L20" s="73">
        <v>26.2</v>
      </c>
      <c r="M20" s="74"/>
      <c r="N20" s="67"/>
      <c r="O20" s="67" t="s">
        <v>89</v>
      </c>
      <c r="P20" s="75"/>
      <c r="Q20" s="76" t="s">
        <v>93</v>
      </c>
      <c r="R20" s="63">
        <v>36.6</v>
      </c>
      <c r="S20" s="64">
        <f t="shared" si="0"/>
        <v>13.674916915912579</v>
      </c>
      <c r="T20" s="143">
        <v>3</v>
      </c>
      <c r="U20" s="143"/>
      <c r="V20" s="143">
        <v>8</v>
      </c>
      <c r="W20" s="249">
        <f t="shared" si="3"/>
        <v>1.0000000000000009E-2</v>
      </c>
      <c r="X20" s="143">
        <f t="shared" si="1"/>
        <v>0</v>
      </c>
      <c r="Y20" s="143">
        <f>IF(OR(K20&gt;Cuts!$B$16, L20&gt;Cuts!B$16), 1,0)</f>
        <v>0</v>
      </c>
      <c r="Z20" s="246">
        <f>IF(OR(C20&gt;Cuts!$C$16, D20&gt;Cuts!$C$16),1,0)</f>
        <v>0</v>
      </c>
      <c r="AA20" s="306">
        <f t="shared" si="2"/>
        <v>0</v>
      </c>
      <c r="AB20" s="793"/>
      <c r="AC20" s="57"/>
      <c r="AD20" s="57"/>
      <c r="AE20" s="57"/>
      <c r="AF20" s="57"/>
      <c r="AG20" s="57"/>
      <c r="AH20" s="57"/>
    </row>
    <row r="21" spans="1:34">
      <c r="A21" s="66">
        <v>9</v>
      </c>
      <c r="B21" s="67" t="s">
        <v>219</v>
      </c>
      <c r="C21" s="68">
        <v>204</v>
      </c>
      <c r="D21" s="69">
        <v>204</v>
      </c>
      <c r="E21" s="70">
        <v>0.5</v>
      </c>
      <c r="F21" s="70">
        <v>0.5</v>
      </c>
      <c r="G21" s="70">
        <v>0.5</v>
      </c>
      <c r="H21" s="70">
        <v>0.5</v>
      </c>
      <c r="I21" s="71">
        <v>0.5</v>
      </c>
      <c r="J21" s="71"/>
      <c r="K21" s="72">
        <v>26.11</v>
      </c>
      <c r="L21" s="73">
        <v>26.16</v>
      </c>
      <c r="M21" s="74" t="s">
        <v>89</v>
      </c>
      <c r="N21" s="67"/>
      <c r="O21" s="67"/>
      <c r="P21" s="75"/>
      <c r="Q21" s="76" t="s">
        <v>93</v>
      </c>
      <c r="R21" s="63">
        <v>36</v>
      </c>
      <c r="S21" s="64">
        <f t="shared" si="0"/>
        <v>13.504540901878256</v>
      </c>
      <c r="T21" s="143">
        <v>3</v>
      </c>
      <c r="U21" s="143"/>
      <c r="V21" s="143">
        <v>9</v>
      </c>
      <c r="W21" s="249">
        <f t="shared" si="3"/>
        <v>0</v>
      </c>
      <c r="X21" s="143">
        <f t="shared" si="1"/>
        <v>0</v>
      </c>
      <c r="Y21" s="143">
        <f>IF(OR(K21&gt;Cuts!$B$16, L21&gt;Cuts!B$16), 1,0)</f>
        <v>0</v>
      </c>
      <c r="Z21" s="246">
        <f>IF(OR(C21&gt;Cuts!$C$16, D21&gt;Cuts!$C$16),1,0)</f>
        <v>0</v>
      </c>
      <c r="AA21" s="306">
        <f t="shared" si="2"/>
        <v>0</v>
      </c>
      <c r="AB21" s="793"/>
      <c r="AC21" s="57"/>
      <c r="AD21" s="57"/>
      <c r="AE21" s="57"/>
      <c r="AF21" s="57"/>
      <c r="AG21" s="57"/>
      <c r="AH21" s="57"/>
    </row>
    <row r="22" spans="1:34">
      <c r="A22" s="66">
        <v>10</v>
      </c>
      <c r="B22" s="67"/>
      <c r="C22" s="68">
        <v>204</v>
      </c>
      <c r="D22" s="69">
        <v>204</v>
      </c>
      <c r="E22" s="70">
        <v>0.5</v>
      </c>
      <c r="F22" s="70">
        <v>0.5</v>
      </c>
      <c r="G22" s="70">
        <v>0.5</v>
      </c>
      <c r="H22" s="70">
        <v>0.5</v>
      </c>
      <c r="I22" s="71">
        <v>0.5</v>
      </c>
      <c r="J22" s="71"/>
      <c r="K22" s="72">
        <v>26.1</v>
      </c>
      <c r="L22" s="73">
        <v>26.23</v>
      </c>
      <c r="M22" s="74"/>
      <c r="N22" s="67"/>
      <c r="O22" s="67" t="s">
        <v>89</v>
      </c>
      <c r="P22" s="75"/>
      <c r="Q22" s="76" t="s">
        <v>94</v>
      </c>
      <c r="R22" s="63">
        <v>35.9</v>
      </c>
      <c r="S22" s="64">
        <f t="shared" si="0"/>
        <v>13.451587399721976</v>
      </c>
      <c r="T22" s="143">
        <v>3</v>
      </c>
      <c r="U22" s="143"/>
      <c r="V22" s="143">
        <v>10</v>
      </c>
      <c r="W22" s="249">
        <f t="shared" si="3"/>
        <v>0</v>
      </c>
      <c r="X22" s="143">
        <f t="shared" si="1"/>
        <v>0</v>
      </c>
      <c r="Y22" s="143">
        <f>IF(OR(K22&gt;Cuts!$B$16, L22&gt;Cuts!B$16), 1,0)</f>
        <v>0</v>
      </c>
      <c r="Z22" s="246">
        <f>IF(OR(C22&gt;Cuts!$C$16, D22&gt;Cuts!$C$16),1,0)</f>
        <v>0</v>
      </c>
      <c r="AA22" s="306">
        <f t="shared" si="2"/>
        <v>0</v>
      </c>
      <c r="AB22" s="793"/>
      <c r="AC22" s="57"/>
      <c r="AD22" s="57"/>
      <c r="AE22" s="57"/>
      <c r="AF22" s="57"/>
      <c r="AG22" s="57"/>
      <c r="AH22" s="57"/>
    </row>
    <row r="23" spans="1:34">
      <c r="A23" s="66">
        <v>11</v>
      </c>
      <c r="B23" s="67"/>
      <c r="C23" s="68">
        <v>204</v>
      </c>
      <c r="D23" s="69">
        <v>204</v>
      </c>
      <c r="E23" s="70">
        <v>0.51</v>
      </c>
      <c r="F23" s="70">
        <v>0.51</v>
      </c>
      <c r="G23" s="70">
        <v>0.51</v>
      </c>
      <c r="H23" s="70">
        <v>0.51</v>
      </c>
      <c r="I23" s="71">
        <v>0.51</v>
      </c>
      <c r="J23" s="71"/>
      <c r="K23" s="72">
        <v>26.06</v>
      </c>
      <c r="L23" s="73">
        <v>26.28</v>
      </c>
      <c r="M23" s="74"/>
      <c r="N23" s="67"/>
      <c r="O23" s="67"/>
      <c r="P23" s="75"/>
      <c r="Q23" s="76"/>
      <c r="R23" s="63">
        <v>36.5</v>
      </c>
      <c r="S23" s="64">
        <f t="shared" si="0"/>
        <v>13.405678454408278</v>
      </c>
      <c r="T23" s="143">
        <v>3</v>
      </c>
      <c r="U23" s="143"/>
      <c r="V23" s="143">
        <v>11</v>
      </c>
      <c r="W23" s="249">
        <f t="shared" si="3"/>
        <v>0</v>
      </c>
      <c r="X23" s="143">
        <f t="shared" si="1"/>
        <v>0</v>
      </c>
      <c r="Y23" s="143">
        <f>IF(OR(K23&gt;Cuts!$B$16, L23&gt;Cuts!B$16), 1,0)</f>
        <v>0</v>
      </c>
      <c r="Z23" s="246">
        <f>IF(OR(C23&gt;Cuts!$C$16, D23&gt;Cuts!$C$16),1,0)</f>
        <v>0</v>
      </c>
      <c r="AA23" s="306">
        <f t="shared" si="2"/>
        <v>0</v>
      </c>
      <c r="AB23" s="793"/>
      <c r="AC23" s="57"/>
      <c r="AD23" s="57"/>
      <c r="AE23" s="57"/>
      <c r="AF23" s="57"/>
      <c r="AG23" s="57"/>
      <c r="AH23" s="57"/>
    </row>
    <row r="24" spans="1:34">
      <c r="A24" s="66">
        <v>12</v>
      </c>
      <c r="B24" s="67"/>
      <c r="C24" s="68">
        <v>204</v>
      </c>
      <c r="D24" s="69">
        <v>204</v>
      </c>
      <c r="E24" s="70">
        <v>0.49</v>
      </c>
      <c r="F24" s="70">
        <v>0.49</v>
      </c>
      <c r="G24" s="70">
        <v>0.49</v>
      </c>
      <c r="H24" s="70">
        <v>0.49</v>
      </c>
      <c r="I24" s="71">
        <v>0.49</v>
      </c>
      <c r="J24" s="71"/>
      <c r="K24" s="72">
        <v>26.1</v>
      </c>
      <c r="L24" s="73">
        <v>26.22</v>
      </c>
      <c r="M24" s="74" t="s">
        <v>89</v>
      </c>
      <c r="N24" s="67"/>
      <c r="O24" s="67" t="s">
        <v>89</v>
      </c>
      <c r="P24" s="75"/>
      <c r="Q24" s="76" t="s">
        <v>94</v>
      </c>
      <c r="R24" s="63">
        <v>35.700000000000003</v>
      </c>
      <c r="S24" s="64">
        <f t="shared" si="0"/>
        <v>13.652249890782</v>
      </c>
      <c r="T24" s="143">
        <v>3</v>
      </c>
      <c r="U24" s="143"/>
      <c r="V24" s="143">
        <v>12</v>
      </c>
      <c r="W24" s="249">
        <f t="shared" si="3"/>
        <v>0</v>
      </c>
      <c r="X24" s="143">
        <f t="shared" si="1"/>
        <v>0</v>
      </c>
      <c r="Y24" s="143">
        <f>IF(OR(K24&gt;Cuts!$B$16, L24&gt;Cuts!B$16), 1,0)</f>
        <v>0</v>
      </c>
      <c r="Z24" s="246">
        <f>IF(OR(C24&gt;Cuts!$C$16, D24&gt;Cuts!$C$16),1,0)</f>
        <v>0</v>
      </c>
      <c r="AA24" s="306">
        <f t="shared" si="2"/>
        <v>0</v>
      </c>
      <c r="AB24" s="793"/>
      <c r="AC24" s="57"/>
      <c r="AD24" s="57"/>
      <c r="AE24" s="57"/>
      <c r="AF24" s="57"/>
      <c r="AG24" s="57"/>
      <c r="AH24" s="57"/>
    </row>
    <row r="25" spans="1:34">
      <c r="A25" s="66">
        <v>13</v>
      </c>
      <c r="B25" s="67"/>
      <c r="C25" s="68">
        <v>204</v>
      </c>
      <c r="D25" s="69">
        <v>204</v>
      </c>
      <c r="E25" s="70">
        <v>0.5</v>
      </c>
      <c r="F25" s="70">
        <v>0.5</v>
      </c>
      <c r="G25" s="70">
        <v>0.5</v>
      </c>
      <c r="H25" s="70">
        <v>0.5</v>
      </c>
      <c r="I25" s="71">
        <v>0.5</v>
      </c>
      <c r="J25" s="71"/>
      <c r="K25" s="72">
        <v>26.1</v>
      </c>
      <c r="L25" s="73">
        <v>26.14</v>
      </c>
      <c r="M25" s="74" t="s">
        <v>89</v>
      </c>
      <c r="N25" s="67"/>
      <c r="O25" s="67"/>
      <c r="P25" s="75" t="s">
        <v>89</v>
      </c>
      <c r="Q25" s="76"/>
      <c r="R25" s="63">
        <v>36.1</v>
      </c>
      <c r="S25" s="64">
        <f t="shared" si="0"/>
        <v>13.549830345614508</v>
      </c>
      <c r="T25" s="143">
        <v>3</v>
      </c>
      <c r="U25" s="143"/>
      <c r="V25" s="143">
        <v>13</v>
      </c>
      <c r="W25" s="249">
        <f t="shared" si="3"/>
        <v>0</v>
      </c>
      <c r="X25" s="143">
        <f t="shared" si="1"/>
        <v>0</v>
      </c>
      <c r="Y25" s="143">
        <f>IF(OR(K25&gt;Cuts!$B$16, L25&gt;Cuts!B$16), 1,0)</f>
        <v>0</v>
      </c>
      <c r="Z25" s="246">
        <f>IF(OR(C25&gt;Cuts!$C$16, D25&gt;Cuts!$C$16),1,0)</f>
        <v>0</v>
      </c>
      <c r="AA25" s="306">
        <f t="shared" si="2"/>
        <v>0</v>
      </c>
      <c r="AB25" s="793"/>
      <c r="AC25" s="57"/>
      <c r="AD25" s="57"/>
      <c r="AE25" s="57"/>
      <c r="AF25" s="57"/>
      <c r="AG25" s="57"/>
      <c r="AH25" s="57"/>
    </row>
    <row r="26" spans="1:34">
      <c r="A26" s="66">
        <v>14</v>
      </c>
      <c r="B26" s="67"/>
      <c r="C26" s="68">
        <v>204</v>
      </c>
      <c r="D26" s="69">
        <v>204</v>
      </c>
      <c r="E26" s="70">
        <v>0.5</v>
      </c>
      <c r="F26" s="70">
        <v>0.5</v>
      </c>
      <c r="G26" s="70">
        <v>0.5</v>
      </c>
      <c r="H26" s="70">
        <v>0.5</v>
      </c>
      <c r="I26" s="71">
        <v>0.5</v>
      </c>
      <c r="J26" s="71"/>
      <c r="K26" s="72">
        <v>26.32</v>
      </c>
      <c r="L26" s="73">
        <v>26.33</v>
      </c>
      <c r="M26" s="74" t="s">
        <v>89</v>
      </c>
      <c r="N26" s="67"/>
      <c r="O26" s="67"/>
      <c r="P26" s="75"/>
      <c r="Q26" s="77" t="s">
        <v>96</v>
      </c>
      <c r="R26" s="63">
        <v>35.799999999999997</v>
      </c>
      <c r="S26" s="64">
        <f t="shared" si="0"/>
        <v>13.332588495987187</v>
      </c>
      <c r="T26" s="143">
        <v>3</v>
      </c>
      <c r="U26" s="143"/>
      <c r="V26" s="143">
        <v>14</v>
      </c>
      <c r="W26" s="249">
        <f t="shared" si="3"/>
        <v>0</v>
      </c>
      <c r="X26" s="143">
        <f t="shared" si="1"/>
        <v>0</v>
      </c>
      <c r="Y26" s="143">
        <f>IF(OR(K26&gt;Cuts!$B$16, L26&gt;Cuts!B$16), 1,0)</f>
        <v>0</v>
      </c>
      <c r="Z26" s="246">
        <f>IF(OR(C26&gt;Cuts!$C$16, D26&gt;Cuts!$C$16),1,0)</f>
        <v>0</v>
      </c>
      <c r="AA26" s="306">
        <f t="shared" si="2"/>
        <v>0</v>
      </c>
      <c r="AB26" s="793"/>
      <c r="AC26" s="57"/>
      <c r="AD26" s="57"/>
      <c r="AE26" s="57"/>
      <c r="AF26" s="57"/>
      <c r="AG26" s="57"/>
      <c r="AH26" s="57"/>
    </row>
    <row r="27" spans="1:34">
      <c r="A27" s="66">
        <v>15</v>
      </c>
      <c r="B27" s="67"/>
      <c r="C27" s="68">
        <v>204</v>
      </c>
      <c r="D27" s="69">
        <v>204</v>
      </c>
      <c r="E27" s="70">
        <v>0.5</v>
      </c>
      <c r="F27" s="70">
        <v>0.5</v>
      </c>
      <c r="G27" s="70">
        <v>0.5</v>
      </c>
      <c r="H27" s="70">
        <v>0.5</v>
      </c>
      <c r="I27" s="71">
        <v>0.51</v>
      </c>
      <c r="J27" s="71"/>
      <c r="K27" s="72">
        <v>26.06</v>
      </c>
      <c r="L27" s="73">
        <v>26.08</v>
      </c>
      <c r="M27" s="74" t="s">
        <v>88</v>
      </c>
      <c r="N27" s="67" t="s">
        <v>89</v>
      </c>
      <c r="O27" s="67"/>
      <c r="P27" s="75"/>
      <c r="Q27" s="76" t="s">
        <v>94</v>
      </c>
      <c r="R27" s="63">
        <v>36.200000000000003</v>
      </c>
      <c r="S27" s="64">
        <f t="shared" si="0"/>
        <v>13.559187140365035</v>
      </c>
      <c r="T27" s="143">
        <v>3</v>
      </c>
      <c r="U27" s="143"/>
      <c r="V27" s="143">
        <v>15</v>
      </c>
      <c r="W27" s="249">
        <f t="shared" si="3"/>
        <v>1.0000000000000009E-2</v>
      </c>
      <c r="X27" s="143">
        <f t="shared" si="1"/>
        <v>0</v>
      </c>
      <c r="Y27" s="143">
        <f>IF(OR(K27&gt;Cuts!$B$16, L27&gt;Cuts!B$16), 1,0)</f>
        <v>0</v>
      </c>
      <c r="Z27" s="246">
        <f>IF(OR(C27&gt;Cuts!$C$16, D27&gt;Cuts!$C$16),1,0)</f>
        <v>0</v>
      </c>
      <c r="AA27" s="306">
        <f t="shared" si="2"/>
        <v>1</v>
      </c>
      <c r="AB27" s="793"/>
      <c r="AC27" s="57"/>
      <c r="AD27" s="57"/>
      <c r="AE27" s="57"/>
      <c r="AF27" s="57"/>
      <c r="AG27" s="57"/>
      <c r="AH27" s="57"/>
    </row>
    <row r="28" spans="1:34">
      <c r="A28" s="66">
        <v>16</v>
      </c>
      <c r="B28" s="67"/>
      <c r="C28" s="68">
        <v>204</v>
      </c>
      <c r="D28" s="69">
        <v>204</v>
      </c>
      <c r="E28" s="70">
        <v>0.49</v>
      </c>
      <c r="F28" s="70">
        <v>0.49</v>
      </c>
      <c r="G28" s="70">
        <v>0.49</v>
      </c>
      <c r="H28" s="70">
        <v>0.49</v>
      </c>
      <c r="I28" s="71">
        <v>0.49</v>
      </c>
      <c r="J28" s="71"/>
      <c r="K28" s="72">
        <v>26.16</v>
      </c>
      <c r="L28" s="73">
        <v>26.09</v>
      </c>
      <c r="M28" s="74"/>
      <c r="N28" s="67"/>
      <c r="O28" s="67" t="s">
        <v>88</v>
      </c>
      <c r="P28" s="75"/>
      <c r="Q28" s="76" t="s">
        <v>93</v>
      </c>
      <c r="R28" s="63">
        <v>35.200000000000003</v>
      </c>
      <c r="S28" s="64">
        <f t="shared" si="0"/>
        <v>13.479075840862661</v>
      </c>
      <c r="T28" s="143">
        <v>3</v>
      </c>
      <c r="U28" s="143"/>
      <c r="V28" s="143">
        <v>16</v>
      </c>
      <c r="W28" s="249">
        <f t="shared" si="3"/>
        <v>0</v>
      </c>
      <c r="X28" s="143">
        <f t="shared" si="1"/>
        <v>0</v>
      </c>
      <c r="Y28" s="143">
        <f>IF(OR(K28&gt;Cuts!$B$16, L28&gt;Cuts!B$16), 1,0)</f>
        <v>0</v>
      </c>
      <c r="Z28" s="246">
        <f>IF(OR(C28&gt;Cuts!$C$16, D28&gt;Cuts!$C$16),1,0)</f>
        <v>0</v>
      </c>
      <c r="AA28" s="306">
        <f t="shared" si="2"/>
        <v>1</v>
      </c>
      <c r="AB28" s="793"/>
      <c r="AC28" s="57"/>
      <c r="AD28" s="57"/>
      <c r="AE28" s="57"/>
      <c r="AF28" s="57"/>
      <c r="AG28" s="57"/>
      <c r="AH28" s="57"/>
    </row>
    <row r="29" spans="1:34">
      <c r="A29" s="171">
        <v>17</v>
      </c>
      <c r="B29" s="67"/>
      <c r="C29" s="68">
        <v>204</v>
      </c>
      <c r="D29" s="69">
        <v>204</v>
      </c>
      <c r="E29" s="786">
        <v>0.51</v>
      </c>
      <c r="F29" s="786">
        <v>0.51</v>
      </c>
      <c r="G29" s="786">
        <v>0.51</v>
      </c>
      <c r="H29" s="786">
        <v>0.51</v>
      </c>
      <c r="I29" s="787">
        <v>0.49</v>
      </c>
      <c r="J29" s="19"/>
      <c r="K29" s="72">
        <v>26.26</v>
      </c>
      <c r="L29" s="73">
        <v>26.33</v>
      </c>
      <c r="M29" s="74"/>
      <c r="N29" s="67"/>
      <c r="O29" s="67"/>
      <c r="P29" s="75" t="s">
        <v>89</v>
      </c>
      <c r="Q29" s="77"/>
      <c r="R29" s="63">
        <v>36.700000000000003</v>
      </c>
      <c r="S29" s="64">
        <f t="shared" si="0"/>
        <v>13.521105605847435</v>
      </c>
      <c r="T29" s="143">
        <v>3</v>
      </c>
      <c r="U29" s="143"/>
      <c r="V29" s="265">
        <v>17</v>
      </c>
      <c r="W29" s="249">
        <f t="shared" si="3"/>
        <v>2.0000000000000018E-2</v>
      </c>
      <c r="X29" s="143">
        <f t="shared" si="1"/>
        <v>0</v>
      </c>
      <c r="Y29" s="143">
        <f>IF(OR(K29&gt;Cuts!$B$16, L29&gt;Cuts!B$16), 1,0)</f>
        <v>0</v>
      </c>
      <c r="Z29" s="246">
        <f>IF(OR(C29&gt;Cuts!$C$16, D29&gt;Cuts!$C$16),1,0)</f>
        <v>0</v>
      </c>
      <c r="AA29" s="306">
        <f t="shared" si="2"/>
        <v>0</v>
      </c>
      <c r="AB29" s="792" t="s">
        <v>631</v>
      </c>
      <c r="AC29" s="57"/>
      <c r="AD29" s="57"/>
      <c r="AE29" s="57"/>
      <c r="AF29" s="57"/>
      <c r="AG29" s="57"/>
      <c r="AH29" s="57"/>
    </row>
    <row r="30" spans="1:34">
      <c r="A30" s="78">
        <v>18</v>
      </c>
      <c r="B30" s="67"/>
      <c r="C30" s="68">
        <v>204</v>
      </c>
      <c r="D30" s="69">
        <v>204</v>
      </c>
      <c r="E30" s="70">
        <v>0.5</v>
      </c>
      <c r="F30" s="70">
        <v>0.5</v>
      </c>
      <c r="G30" s="70">
        <v>0.51</v>
      </c>
      <c r="H30" s="70">
        <v>0.51</v>
      </c>
      <c r="I30" s="70">
        <v>0.5</v>
      </c>
      <c r="J30" s="70"/>
      <c r="K30" s="72">
        <v>26.03</v>
      </c>
      <c r="L30" s="73">
        <v>26.17</v>
      </c>
      <c r="M30" s="79"/>
      <c r="N30" s="80" t="s">
        <v>89</v>
      </c>
      <c r="O30" s="80" t="s">
        <v>88</v>
      </c>
      <c r="P30" s="75" t="s">
        <v>89</v>
      </c>
      <c r="Q30" s="76" t="s">
        <v>94</v>
      </c>
      <c r="R30" s="63">
        <v>36.200000000000003</v>
      </c>
      <c r="S30" s="64">
        <f t="shared" si="0"/>
        <v>13.489857415933592</v>
      </c>
      <c r="T30" s="143">
        <v>3</v>
      </c>
      <c r="U30" s="143"/>
      <c r="V30" s="225">
        <v>18</v>
      </c>
      <c r="W30" s="249">
        <f t="shared" si="3"/>
        <v>1.0000000000000009E-2</v>
      </c>
      <c r="X30" s="143">
        <f t="shared" si="1"/>
        <v>0</v>
      </c>
      <c r="Y30" s="143">
        <f>IF(OR(K30&gt;Cuts!$B$16, L30&gt;Cuts!B$16), 1,0)</f>
        <v>0</v>
      </c>
      <c r="Z30" s="246">
        <f>IF(OR(C30&gt;Cuts!$C$16, D30&gt;Cuts!$C$16),1,0)</f>
        <v>0</v>
      </c>
      <c r="AA30" s="306">
        <f t="shared" si="2"/>
        <v>1</v>
      </c>
      <c r="AB30" s="793"/>
      <c r="AC30" s="52"/>
      <c r="AD30" s="52"/>
      <c r="AE30" s="57"/>
      <c r="AF30" s="57"/>
      <c r="AG30" s="57"/>
      <c r="AH30" s="57"/>
    </row>
    <row r="31" spans="1:34">
      <c r="A31" s="78">
        <v>19</v>
      </c>
      <c r="B31" s="67"/>
      <c r="C31" s="68">
        <v>204</v>
      </c>
      <c r="D31" s="69">
        <v>204</v>
      </c>
      <c r="E31" s="70">
        <v>0.5</v>
      </c>
      <c r="F31" s="70">
        <v>0.5</v>
      </c>
      <c r="G31" s="70">
        <v>0.5</v>
      </c>
      <c r="H31" s="70">
        <v>0.5</v>
      </c>
      <c r="I31" s="70">
        <v>0.49</v>
      </c>
      <c r="J31" s="70"/>
      <c r="K31" s="72">
        <v>26.1</v>
      </c>
      <c r="L31" s="73">
        <v>26.19</v>
      </c>
      <c r="M31" s="79" t="s">
        <v>88</v>
      </c>
      <c r="N31" s="80"/>
      <c r="O31" s="80"/>
      <c r="P31" s="75"/>
      <c r="Q31" s="76" t="s">
        <v>93</v>
      </c>
      <c r="R31" s="63">
        <v>36</v>
      </c>
      <c r="S31" s="64">
        <f t="shared" si="0"/>
        <v>13.553590013931732</v>
      </c>
      <c r="T31" s="143">
        <v>3</v>
      </c>
      <c r="U31" s="143"/>
      <c r="V31" s="225">
        <v>19</v>
      </c>
      <c r="W31" s="249">
        <f t="shared" si="3"/>
        <v>1.0000000000000009E-2</v>
      </c>
      <c r="X31" s="143">
        <f t="shared" si="1"/>
        <v>0</v>
      </c>
      <c r="Y31" s="143">
        <f>IF(OR(K31&gt;Cuts!$B$16, L31&gt;Cuts!B$16), 1,0)</f>
        <v>0</v>
      </c>
      <c r="Z31" s="246">
        <f>IF(OR(C31&gt;Cuts!$C$16, D31&gt;Cuts!$C$16),1,0)</f>
        <v>0</v>
      </c>
      <c r="AA31" s="306">
        <f t="shared" si="2"/>
        <v>1</v>
      </c>
      <c r="AB31" s="793"/>
      <c r="AC31" s="52"/>
      <c r="AD31" s="52"/>
      <c r="AE31" s="57"/>
      <c r="AF31" s="57"/>
      <c r="AG31" s="57"/>
      <c r="AH31" s="57"/>
    </row>
    <row r="32" spans="1:34">
      <c r="A32" s="78">
        <v>20</v>
      </c>
      <c r="B32" s="67"/>
      <c r="C32" s="68">
        <v>204</v>
      </c>
      <c r="D32" s="69">
        <v>204</v>
      </c>
      <c r="E32" s="70">
        <v>0.49</v>
      </c>
      <c r="F32" s="70">
        <v>0.49</v>
      </c>
      <c r="G32" s="70">
        <v>0.48</v>
      </c>
      <c r="H32" s="70">
        <v>0.49</v>
      </c>
      <c r="I32" s="70">
        <v>0.49</v>
      </c>
      <c r="J32" s="70"/>
      <c r="K32" s="72">
        <v>26.14</v>
      </c>
      <c r="L32" s="73">
        <v>26.18</v>
      </c>
      <c r="M32" s="79" t="s">
        <v>88</v>
      </c>
      <c r="N32" s="80" t="s">
        <v>89</v>
      </c>
      <c r="O32" s="80"/>
      <c r="P32" s="75" t="s">
        <v>89</v>
      </c>
      <c r="Q32" s="76" t="s">
        <v>93</v>
      </c>
      <c r="R32" s="63">
        <v>35</v>
      </c>
      <c r="S32" s="64">
        <f t="shared" si="0"/>
        <v>13.439413465290864</v>
      </c>
      <c r="T32" s="143">
        <v>3</v>
      </c>
      <c r="U32" s="143"/>
      <c r="V32" s="225">
        <v>20</v>
      </c>
      <c r="W32" s="249">
        <f t="shared" si="3"/>
        <v>1.0000000000000009E-2</v>
      </c>
      <c r="X32" s="143">
        <f t="shared" si="1"/>
        <v>0</v>
      </c>
      <c r="Y32" s="143">
        <f>IF(OR(K32&gt;Cuts!$B$16, L32&gt;Cuts!B$16), 1,0)</f>
        <v>0</v>
      </c>
      <c r="Z32" s="246">
        <f>IF(OR(C32&gt;Cuts!$C$16, D32&gt;Cuts!$C$16),1,0)</f>
        <v>0</v>
      </c>
      <c r="AA32" s="306">
        <f t="shared" si="2"/>
        <v>1</v>
      </c>
      <c r="AB32" s="793"/>
      <c r="AC32" s="52"/>
      <c r="AD32" s="52"/>
      <c r="AE32" s="57"/>
      <c r="AF32" s="57"/>
      <c r="AG32" s="57"/>
      <c r="AH32" s="57"/>
    </row>
    <row r="33" spans="1:34">
      <c r="A33" s="78">
        <v>21</v>
      </c>
      <c r="B33" s="67"/>
      <c r="C33" s="68">
        <v>204</v>
      </c>
      <c r="D33" s="69">
        <v>204</v>
      </c>
      <c r="E33" s="70">
        <v>0.49</v>
      </c>
      <c r="F33" s="70">
        <v>0.49</v>
      </c>
      <c r="G33" s="70">
        <v>0.49</v>
      </c>
      <c r="H33" s="70">
        <v>0.49</v>
      </c>
      <c r="I33" s="70">
        <v>0.49</v>
      </c>
      <c r="J33" s="70"/>
      <c r="K33" s="72">
        <v>26.25</v>
      </c>
      <c r="L33" s="73">
        <v>26.45</v>
      </c>
      <c r="M33" s="79"/>
      <c r="N33" s="80" t="s">
        <v>89</v>
      </c>
      <c r="O33" s="80"/>
      <c r="P33" s="75" t="s">
        <v>89</v>
      </c>
      <c r="Q33" s="76" t="s">
        <v>93</v>
      </c>
      <c r="R33" s="63">
        <v>35.299999999999997</v>
      </c>
      <c r="S33" s="64">
        <f t="shared" si="0"/>
        <v>13.401945218315028</v>
      </c>
      <c r="T33" s="143">
        <v>3</v>
      </c>
      <c r="U33" s="143"/>
      <c r="V33" s="225">
        <v>21</v>
      </c>
      <c r="W33" s="249">
        <f t="shared" si="3"/>
        <v>0</v>
      </c>
      <c r="X33" s="143">
        <f t="shared" si="1"/>
        <v>0</v>
      </c>
      <c r="Y33" s="143">
        <f>IF(OR(K33&gt;Cuts!$B$16, L33&gt;Cuts!B$16), 1,0)</f>
        <v>0</v>
      </c>
      <c r="Z33" s="246">
        <f>IF(OR(C33&gt;Cuts!$C$16, D33&gt;Cuts!$C$16),1,0)</f>
        <v>0</v>
      </c>
      <c r="AA33" s="306">
        <f t="shared" si="2"/>
        <v>0</v>
      </c>
      <c r="AB33" s="793"/>
      <c r="AC33" s="52"/>
      <c r="AD33" s="52"/>
      <c r="AE33" s="57"/>
      <c r="AF33" s="57"/>
      <c r="AG33" s="57"/>
      <c r="AH33" s="57"/>
    </row>
    <row r="34" spans="1:34">
      <c r="A34" s="78">
        <v>22</v>
      </c>
      <c r="B34" s="67"/>
      <c r="C34" s="68">
        <v>204</v>
      </c>
      <c r="D34" s="69">
        <v>204</v>
      </c>
      <c r="E34" s="70">
        <v>0.49</v>
      </c>
      <c r="F34" s="70">
        <v>0.49</v>
      </c>
      <c r="G34" s="70">
        <v>0.49</v>
      </c>
      <c r="H34" s="70">
        <v>0.49</v>
      </c>
      <c r="I34" s="70">
        <v>0.49</v>
      </c>
      <c r="J34" s="70"/>
      <c r="K34" s="72">
        <v>26.3</v>
      </c>
      <c r="L34" s="73">
        <v>26.35</v>
      </c>
      <c r="M34" s="79" t="s">
        <v>89</v>
      </c>
      <c r="N34" s="80"/>
      <c r="O34" s="80"/>
      <c r="P34" s="75"/>
      <c r="Q34" s="76"/>
      <c r="R34" s="63">
        <v>35.200000000000003</v>
      </c>
      <c r="S34" s="64">
        <f t="shared" si="0"/>
        <v>13.376670706269211</v>
      </c>
      <c r="T34" s="143">
        <v>3</v>
      </c>
      <c r="U34" s="143"/>
      <c r="V34" s="225">
        <v>22</v>
      </c>
      <c r="W34" s="249">
        <f t="shared" si="3"/>
        <v>0</v>
      </c>
      <c r="X34" s="143">
        <f t="shared" si="1"/>
        <v>0</v>
      </c>
      <c r="Y34" s="143">
        <f>IF(OR(K34&gt;Cuts!$B$16, L34&gt;Cuts!B$16), 1,0)</f>
        <v>0</v>
      </c>
      <c r="Z34" s="246">
        <f>IF(OR(C34&gt;Cuts!$C$16, D34&gt;Cuts!$C$16),1,0)</f>
        <v>0</v>
      </c>
      <c r="AA34" s="306">
        <f t="shared" si="2"/>
        <v>0</v>
      </c>
      <c r="AB34" s="793"/>
      <c r="AC34" s="52"/>
      <c r="AD34" s="52"/>
      <c r="AE34" s="57"/>
      <c r="AF34" s="57"/>
      <c r="AG34" s="57"/>
      <c r="AH34" s="57"/>
    </row>
    <row r="35" spans="1:34">
      <c r="A35" s="78">
        <v>23</v>
      </c>
      <c r="B35" s="67"/>
      <c r="C35" s="68">
        <v>204</v>
      </c>
      <c r="D35" s="69">
        <v>204</v>
      </c>
      <c r="E35" s="70">
        <v>0.5</v>
      </c>
      <c r="F35" s="70">
        <v>0.5</v>
      </c>
      <c r="G35" s="70">
        <v>0.5</v>
      </c>
      <c r="H35" s="70">
        <v>0.5</v>
      </c>
      <c r="I35" s="70">
        <v>0.5</v>
      </c>
      <c r="J35" s="70"/>
      <c r="K35" s="72">
        <v>26.1</v>
      </c>
      <c r="L35" s="73">
        <v>26.22</v>
      </c>
      <c r="M35" s="79"/>
      <c r="N35" s="80"/>
      <c r="O35" s="80" t="s">
        <v>89</v>
      </c>
      <c r="P35" s="75"/>
      <c r="Q35" s="76"/>
      <c r="R35" s="63">
        <v>36</v>
      </c>
      <c r="S35" s="64">
        <f t="shared" si="0"/>
        <v>13.491635186184565</v>
      </c>
      <c r="T35" s="143">
        <v>3</v>
      </c>
      <c r="U35" s="143"/>
      <c r="V35" s="225">
        <v>23</v>
      </c>
      <c r="W35" s="249">
        <f t="shared" si="3"/>
        <v>0</v>
      </c>
      <c r="X35" s="143">
        <f t="shared" si="1"/>
        <v>0</v>
      </c>
      <c r="Y35" s="143">
        <f>IF(OR(K35&gt;Cuts!$B$16, L35&gt;Cuts!B$16), 1,0)</f>
        <v>0</v>
      </c>
      <c r="Z35" s="246">
        <f>IF(OR(C35&gt;Cuts!$C$16, D35&gt;Cuts!$C$16),1,0)</f>
        <v>0</v>
      </c>
      <c r="AA35" s="306">
        <f t="shared" si="2"/>
        <v>0</v>
      </c>
      <c r="AB35" s="793"/>
      <c r="AC35" s="52"/>
      <c r="AD35" s="52"/>
      <c r="AE35" s="57"/>
      <c r="AF35" s="57"/>
      <c r="AG35" s="57"/>
      <c r="AH35" s="57"/>
    </row>
    <row r="36" spans="1:34">
      <c r="A36" s="78">
        <v>24</v>
      </c>
      <c r="B36" s="67"/>
      <c r="C36" s="68">
        <v>204</v>
      </c>
      <c r="D36" s="69">
        <v>204</v>
      </c>
      <c r="E36" s="70">
        <v>0.5</v>
      </c>
      <c r="F36" s="70">
        <v>0.5</v>
      </c>
      <c r="G36" s="70">
        <v>0.5</v>
      </c>
      <c r="H36" s="70">
        <v>0.5</v>
      </c>
      <c r="I36" s="70">
        <v>0.5</v>
      </c>
      <c r="J36" s="70"/>
      <c r="K36" s="72">
        <v>26.1</v>
      </c>
      <c r="L36" s="73">
        <v>26.16</v>
      </c>
      <c r="M36" s="79" t="s">
        <v>89</v>
      </c>
      <c r="N36" s="80" t="s">
        <v>89</v>
      </c>
      <c r="O36" s="80"/>
      <c r="P36" s="75"/>
      <c r="Q36" s="77"/>
      <c r="R36" s="63">
        <v>36.299999999999997</v>
      </c>
      <c r="S36" s="64">
        <f t="shared" si="0"/>
        <v>13.619684383512299</v>
      </c>
      <c r="T36" s="143">
        <v>3</v>
      </c>
      <c r="U36" s="143"/>
      <c r="V36" s="225">
        <v>24</v>
      </c>
      <c r="W36" s="249">
        <f t="shared" si="3"/>
        <v>0</v>
      </c>
      <c r="X36" s="143">
        <f t="shared" si="1"/>
        <v>0</v>
      </c>
      <c r="Y36" s="143">
        <f>IF(OR(K36&gt;Cuts!$B$16, L36&gt;Cuts!B$16), 1,0)</f>
        <v>0</v>
      </c>
      <c r="Z36" s="246">
        <f>IF(OR(C36&gt;Cuts!$C$16, D36&gt;Cuts!$C$16),1,0)</f>
        <v>0</v>
      </c>
      <c r="AA36" s="306">
        <f t="shared" si="2"/>
        <v>0</v>
      </c>
      <c r="AB36" s="793"/>
      <c r="AC36" s="52"/>
      <c r="AD36" s="52"/>
      <c r="AE36" s="57"/>
      <c r="AF36" s="57"/>
      <c r="AG36" s="57"/>
      <c r="AH36" s="57"/>
    </row>
    <row r="37" spans="1:34">
      <c r="A37" s="78">
        <v>25</v>
      </c>
      <c r="B37" s="67"/>
      <c r="C37" s="68">
        <v>204</v>
      </c>
      <c r="D37" s="69">
        <v>204</v>
      </c>
      <c r="E37" s="70">
        <v>0.51</v>
      </c>
      <c r="F37" s="70">
        <v>0.51</v>
      </c>
      <c r="G37" s="70">
        <v>0.51</v>
      </c>
      <c r="H37" s="70">
        <v>0.51</v>
      </c>
      <c r="I37" s="70">
        <v>0.51</v>
      </c>
      <c r="J37" s="70"/>
      <c r="K37" s="72">
        <v>26.25</v>
      </c>
      <c r="L37" s="73">
        <v>26.25</v>
      </c>
      <c r="M37" s="79"/>
      <c r="N37" s="80"/>
      <c r="O37" s="80" t="s">
        <v>89</v>
      </c>
      <c r="P37" s="75"/>
      <c r="Q37" s="76" t="s">
        <v>93</v>
      </c>
      <c r="R37" s="63">
        <v>36.200000000000003</v>
      </c>
      <c r="S37" s="64">
        <f t="shared" si="0"/>
        <v>13.254975192691456</v>
      </c>
      <c r="T37" s="143">
        <v>3</v>
      </c>
      <c r="U37" s="143"/>
      <c r="V37" s="225">
        <v>25</v>
      </c>
      <c r="W37" s="249">
        <f t="shared" si="3"/>
        <v>0</v>
      </c>
      <c r="X37" s="143">
        <f t="shared" si="1"/>
        <v>0</v>
      </c>
      <c r="Y37" s="143">
        <f>IF(OR(K37&gt;Cuts!$B$16, L37&gt;Cuts!B$16), 1,0)</f>
        <v>0</v>
      </c>
      <c r="Z37" s="246">
        <f>IF(OR(C37&gt;Cuts!$C$16, D37&gt;Cuts!$C$16),1,0)</f>
        <v>0</v>
      </c>
      <c r="AA37" s="306">
        <f t="shared" si="2"/>
        <v>0</v>
      </c>
      <c r="AB37" s="793"/>
      <c r="AC37" s="52"/>
      <c r="AD37" s="52"/>
      <c r="AE37" s="57"/>
      <c r="AF37" s="57"/>
      <c r="AG37" s="57"/>
      <c r="AH37" s="57"/>
    </row>
    <row r="38" spans="1:34">
      <c r="A38" s="78">
        <v>26</v>
      </c>
      <c r="B38" s="67"/>
      <c r="C38" s="68">
        <v>204</v>
      </c>
      <c r="D38" s="69">
        <v>204</v>
      </c>
      <c r="E38" s="70">
        <v>0.48</v>
      </c>
      <c r="F38" s="70">
        <v>0.48</v>
      </c>
      <c r="G38" s="70">
        <v>0.48</v>
      </c>
      <c r="H38" s="70">
        <v>0.48</v>
      </c>
      <c r="I38" s="70">
        <v>0.48</v>
      </c>
      <c r="J38" s="70"/>
      <c r="K38" s="72">
        <v>26.12</v>
      </c>
      <c r="L38" s="73">
        <v>26.17</v>
      </c>
      <c r="M38" s="79"/>
      <c r="N38" s="80"/>
      <c r="O38" s="80"/>
      <c r="P38" s="75" t="s">
        <v>88</v>
      </c>
      <c r="Q38" s="76" t="s">
        <v>94</v>
      </c>
      <c r="R38" s="63">
        <v>34.799999999999997</v>
      </c>
      <c r="S38" s="64">
        <f t="shared" si="0"/>
        <v>13.593121318139033</v>
      </c>
      <c r="T38" s="143">
        <v>3</v>
      </c>
      <c r="U38" s="143"/>
      <c r="V38" s="225">
        <v>26</v>
      </c>
      <c r="W38" s="249">
        <f t="shared" si="3"/>
        <v>0</v>
      </c>
      <c r="X38" s="143">
        <f t="shared" si="1"/>
        <v>0</v>
      </c>
      <c r="Y38" s="143">
        <f>IF(OR(K38&gt;Cuts!$B$16, L38&gt;Cuts!B$16), 1,0)</f>
        <v>0</v>
      </c>
      <c r="Z38" s="246">
        <f>IF(OR(C38&gt;Cuts!$C$16, D38&gt;Cuts!$C$16),1,0)</f>
        <v>0</v>
      </c>
      <c r="AA38" s="306">
        <f t="shared" si="2"/>
        <v>1</v>
      </c>
      <c r="AB38" s="793"/>
      <c r="AC38" s="52"/>
      <c r="AD38" s="52"/>
      <c r="AE38" s="57"/>
      <c r="AF38" s="57"/>
      <c r="AG38" s="57"/>
      <c r="AH38" s="57"/>
    </row>
    <row r="39" spans="1:34">
      <c r="A39" s="78">
        <v>27</v>
      </c>
      <c r="B39" s="67"/>
      <c r="C39" s="68">
        <v>204</v>
      </c>
      <c r="D39" s="69">
        <v>204</v>
      </c>
      <c r="E39" s="70">
        <v>0.51</v>
      </c>
      <c r="F39" s="70">
        <v>0.51</v>
      </c>
      <c r="G39" s="70">
        <v>0.51</v>
      </c>
      <c r="H39" s="70">
        <v>0.51</v>
      </c>
      <c r="I39" s="70">
        <v>0.51</v>
      </c>
      <c r="J39" s="70"/>
      <c r="K39" s="72">
        <v>26.25</v>
      </c>
      <c r="L39" s="73">
        <v>26.46</v>
      </c>
      <c r="M39" s="79" t="s">
        <v>89</v>
      </c>
      <c r="N39" s="80"/>
      <c r="O39" s="80" t="s">
        <v>89</v>
      </c>
      <c r="P39" s="75" t="s">
        <v>89</v>
      </c>
      <c r="Q39" s="76"/>
      <c r="R39" s="63">
        <v>36.799999999999997</v>
      </c>
      <c r="S39" s="64">
        <f t="shared" si="0"/>
        <v>13.42098696625227</v>
      </c>
      <c r="T39" s="143">
        <v>3</v>
      </c>
      <c r="U39" s="143"/>
      <c r="V39" s="225">
        <v>27</v>
      </c>
      <c r="W39" s="249">
        <f t="shared" si="3"/>
        <v>0</v>
      </c>
      <c r="X39" s="143">
        <f t="shared" si="1"/>
        <v>0</v>
      </c>
      <c r="Y39" s="143">
        <f>IF(OR(K39&gt;Cuts!$B$16, L39&gt;Cuts!B$16), 1,0)</f>
        <v>0</v>
      </c>
      <c r="Z39" s="246">
        <f>IF(OR(C39&gt;Cuts!$C$16, D39&gt;Cuts!$C$16),1,0)</f>
        <v>0</v>
      </c>
      <c r="AA39" s="306">
        <f t="shared" si="2"/>
        <v>0</v>
      </c>
      <c r="AB39" s="793"/>
      <c r="AC39" s="52"/>
      <c r="AD39" s="52"/>
      <c r="AE39" s="57"/>
      <c r="AF39" s="57"/>
      <c r="AG39" s="57"/>
      <c r="AH39" s="57"/>
    </row>
    <row r="40" spans="1:34">
      <c r="A40" s="78">
        <v>28</v>
      </c>
      <c r="B40" s="67"/>
      <c r="C40" s="68">
        <v>204</v>
      </c>
      <c r="D40" s="69">
        <v>204</v>
      </c>
      <c r="E40" s="70">
        <v>0.5</v>
      </c>
      <c r="F40" s="70">
        <v>0.5</v>
      </c>
      <c r="G40" s="70">
        <v>0.5</v>
      </c>
      <c r="H40" s="70">
        <v>0.51</v>
      </c>
      <c r="I40" s="70">
        <v>0.51</v>
      </c>
      <c r="J40" s="70"/>
      <c r="K40" s="72">
        <v>26.26</v>
      </c>
      <c r="L40" s="73">
        <v>26.38</v>
      </c>
      <c r="M40" s="79"/>
      <c r="N40" s="80" t="s">
        <v>89</v>
      </c>
      <c r="O40" s="80"/>
      <c r="P40" s="75"/>
      <c r="Q40" s="76"/>
      <c r="R40" s="63">
        <v>36.6</v>
      </c>
      <c r="S40" s="64">
        <f t="shared" si="0"/>
        <v>13.524913511503895</v>
      </c>
      <c r="T40" s="143">
        <v>3</v>
      </c>
      <c r="U40" s="143"/>
      <c r="V40" s="225">
        <v>28</v>
      </c>
      <c r="W40" s="249">
        <f t="shared" si="3"/>
        <v>1.0000000000000009E-2</v>
      </c>
      <c r="X40" s="143">
        <f t="shared" si="1"/>
        <v>0</v>
      </c>
      <c r="Y40" s="143">
        <f>IF(OR(K40&gt;Cuts!$B$16, L40&gt;Cuts!B$16), 1,0)</f>
        <v>0</v>
      </c>
      <c r="Z40" s="246">
        <f>IF(OR(C40&gt;Cuts!$C$16, D40&gt;Cuts!$C$16),1,0)</f>
        <v>0</v>
      </c>
      <c r="AA40" s="306">
        <f t="shared" si="2"/>
        <v>0</v>
      </c>
      <c r="AB40" s="793"/>
      <c r="AC40" s="52"/>
      <c r="AD40" s="52"/>
      <c r="AE40" s="57"/>
      <c r="AF40" s="57"/>
      <c r="AG40" s="57"/>
      <c r="AH40" s="57"/>
    </row>
    <row r="41" spans="1:34">
      <c r="A41" s="78">
        <v>29</v>
      </c>
      <c r="B41" s="67"/>
      <c r="C41" s="68">
        <v>204</v>
      </c>
      <c r="D41" s="69">
        <v>204</v>
      </c>
      <c r="E41" s="70">
        <v>0.5</v>
      </c>
      <c r="F41" s="70">
        <v>0.5</v>
      </c>
      <c r="G41" s="70">
        <v>0.5</v>
      </c>
      <c r="H41" s="70">
        <v>0.5</v>
      </c>
      <c r="I41" s="70">
        <v>0.5</v>
      </c>
      <c r="J41" s="70"/>
      <c r="K41" s="72">
        <v>26.26</v>
      </c>
      <c r="L41" s="73">
        <v>26.36</v>
      </c>
      <c r="M41" s="79" t="s">
        <v>89</v>
      </c>
      <c r="N41" s="80"/>
      <c r="O41" s="80"/>
      <c r="P41" s="75"/>
      <c r="Q41" s="76" t="s">
        <v>93</v>
      </c>
      <c r="R41" s="63">
        <v>36.299999999999997</v>
      </c>
      <c r="S41" s="64">
        <f t="shared" si="0"/>
        <v>13.526505242918144</v>
      </c>
      <c r="T41" s="143">
        <v>3</v>
      </c>
      <c r="U41" s="143"/>
      <c r="V41" s="225">
        <v>29</v>
      </c>
      <c r="W41" s="249">
        <f t="shared" si="3"/>
        <v>0</v>
      </c>
      <c r="X41" s="143">
        <f t="shared" si="1"/>
        <v>0</v>
      </c>
      <c r="Y41" s="143">
        <f>IF(OR(K41&gt;Cuts!$B$16, L41&gt;Cuts!B$16), 1,0)</f>
        <v>0</v>
      </c>
      <c r="Z41" s="246">
        <f>IF(OR(C41&gt;Cuts!$C$16, D41&gt;Cuts!$C$16),1,0)</f>
        <v>0</v>
      </c>
      <c r="AA41" s="306">
        <f t="shared" si="2"/>
        <v>0</v>
      </c>
      <c r="AB41" s="793"/>
      <c r="AC41" s="52"/>
      <c r="AD41" s="52"/>
      <c r="AE41" s="57"/>
      <c r="AF41" s="57"/>
      <c r="AG41" s="57"/>
      <c r="AH41" s="57"/>
    </row>
    <row r="42" spans="1:34">
      <c r="A42" s="78">
        <v>30</v>
      </c>
      <c r="B42" s="67"/>
      <c r="C42" s="68">
        <v>204</v>
      </c>
      <c r="D42" s="69">
        <v>204</v>
      </c>
      <c r="E42" s="70">
        <v>0.49</v>
      </c>
      <c r="F42" s="70">
        <v>0.5</v>
      </c>
      <c r="G42" s="70">
        <v>0.5</v>
      </c>
      <c r="H42" s="70">
        <v>0.5</v>
      </c>
      <c r="I42" s="70">
        <v>0.5</v>
      </c>
      <c r="J42" s="70"/>
      <c r="K42" s="72">
        <v>26.41</v>
      </c>
      <c r="L42" s="73">
        <v>26.21</v>
      </c>
      <c r="M42" s="79"/>
      <c r="N42" s="80"/>
      <c r="O42" s="80"/>
      <c r="P42" s="75"/>
      <c r="Q42" s="76" t="s">
        <v>93</v>
      </c>
      <c r="R42" s="63">
        <v>36.1</v>
      </c>
      <c r="S42" s="64">
        <f t="shared" si="0"/>
        <v>13.506003055454462</v>
      </c>
      <c r="T42" s="143">
        <v>3</v>
      </c>
      <c r="U42" s="143"/>
      <c r="V42" s="225">
        <v>30</v>
      </c>
      <c r="W42" s="249">
        <f t="shared" si="3"/>
        <v>1.0000000000000009E-2</v>
      </c>
      <c r="X42" s="143">
        <f t="shared" si="1"/>
        <v>0</v>
      </c>
      <c r="Y42" s="143">
        <f>IF(OR(K42&gt;Cuts!$B$16, L42&gt;Cuts!B$16), 1,0)</f>
        <v>0</v>
      </c>
      <c r="Z42" s="246">
        <f>IF(OR(C42&gt;Cuts!$C$16, D42&gt;Cuts!$C$16),1,0)</f>
        <v>0</v>
      </c>
      <c r="AA42" s="306">
        <f t="shared" si="2"/>
        <v>0</v>
      </c>
      <c r="AB42" s="793"/>
      <c r="AC42" s="52"/>
      <c r="AD42" s="52"/>
      <c r="AE42" s="57"/>
      <c r="AF42" s="57"/>
      <c r="AG42" s="57"/>
      <c r="AH42" s="57"/>
    </row>
    <row r="43" spans="1:34">
      <c r="A43" s="78">
        <v>31</v>
      </c>
      <c r="B43" s="67"/>
      <c r="C43" s="68">
        <v>204</v>
      </c>
      <c r="D43" s="69">
        <v>204</v>
      </c>
      <c r="E43" s="70">
        <v>0.51</v>
      </c>
      <c r="F43" s="70">
        <v>0.51</v>
      </c>
      <c r="G43" s="70">
        <v>0.51</v>
      </c>
      <c r="H43" s="70">
        <v>0.51</v>
      </c>
      <c r="I43" s="70">
        <v>0.51</v>
      </c>
      <c r="J43" s="70"/>
      <c r="K43" s="72">
        <v>26.38</v>
      </c>
      <c r="L43" s="73">
        <v>26.21</v>
      </c>
      <c r="M43" s="79"/>
      <c r="N43" s="80" t="s">
        <v>88</v>
      </c>
      <c r="O43" s="80"/>
      <c r="P43" s="75"/>
      <c r="Q43" s="77" t="s">
        <v>96</v>
      </c>
      <c r="R43" s="63">
        <v>36.5</v>
      </c>
      <c r="S43" s="64">
        <f t="shared" si="0"/>
        <v>13.34195113716922</v>
      </c>
      <c r="T43" s="143">
        <v>3</v>
      </c>
      <c r="U43" s="143"/>
      <c r="V43" s="225">
        <v>31</v>
      </c>
      <c r="W43" s="249">
        <f t="shared" si="3"/>
        <v>0</v>
      </c>
      <c r="X43" s="143">
        <f t="shared" si="1"/>
        <v>0</v>
      </c>
      <c r="Y43" s="143">
        <f>IF(OR(K43&gt;Cuts!$B$16, L43&gt;Cuts!B$16), 1,0)</f>
        <v>0</v>
      </c>
      <c r="Z43" s="246">
        <f>IF(OR(C43&gt;Cuts!$C$16, D43&gt;Cuts!$C$16),1,0)</f>
        <v>0</v>
      </c>
      <c r="AA43" s="306">
        <f t="shared" si="2"/>
        <v>1</v>
      </c>
      <c r="AB43" s="793"/>
      <c r="AC43" s="52"/>
      <c r="AD43" s="52"/>
      <c r="AE43" s="57"/>
      <c r="AF43" s="57"/>
      <c r="AG43" s="57"/>
      <c r="AH43" s="57"/>
    </row>
    <row r="44" spans="1:34">
      <c r="A44" s="78">
        <v>32</v>
      </c>
      <c r="B44" s="67"/>
      <c r="C44" s="68">
        <v>204</v>
      </c>
      <c r="D44" s="69">
        <v>204</v>
      </c>
      <c r="E44" s="70">
        <v>0.5</v>
      </c>
      <c r="F44" s="70">
        <v>0.5</v>
      </c>
      <c r="G44" s="70">
        <v>0.5</v>
      </c>
      <c r="H44" s="70">
        <v>0.5</v>
      </c>
      <c r="I44" s="70">
        <v>0.5</v>
      </c>
      <c r="J44" s="70"/>
      <c r="K44" s="72">
        <v>26.3</v>
      </c>
      <c r="L44" s="73">
        <v>26.22</v>
      </c>
      <c r="M44" s="79"/>
      <c r="N44" s="80" t="s">
        <v>89</v>
      </c>
      <c r="O44" s="80"/>
      <c r="P44" s="75" t="s">
        <v>88</v>
      </c>
      <c r="Q44" s="76" t="s">
        <v>93</v>
      </c>
      <c r="R44" s="63">
        <v>36.1</v>
      </c>
      <c r="S44" s="64">
        <f t="shared" ref="S44:S75" si="4">R44/(AVERAGE(C44:D44)*AVERAGE(E44:J44)*AVERAGE(K44:L44)*0.001)</f>
        <v>13.477592103101712</v>
      </c>
      <c r="T44" s="143">
        <v>3</v>
      </c>
      <c r="U44" s="143"/>
      <c r="V44" s="225">
        <v>32</v>
      </c>
      <c r="W44" s="249">
        <f t="shared" si="3"/>
        <v>0</v>
      </c>
      <c r="X44" s="143">
        <f t="shared" ref="X44:X75" si="5">IF(OR(ABS(E44-$C$6)&gt;($C$6*0.1),ABS(F44-$C$6)&gt;($C$6*0.1),ABS(G44-$C$6)&gt;($C$6*0.1),ABS(H44-$C$6)&gt;($C$6*0.1),ABS(I44-$C$6)&gt;($C$6*0.1)),1,0)</f>
        <v>0</v>
      </c>
      <c r="Y44" s="143">
        <f>IF(OR(K44&gt;Cuts!$B$16, L44&gt;Cuts!B$16), 1,0)</f>
        <v>0</v>
      </c>
      <c r="Z44" s="246">
        <f>IF(OR(C44&gt;Cuts!$C$16, D44&gt;Cuts!$C$16),1,0)</f>
        <v>0</v>
      </c>
      <c r="AA44" s="306">
        <f t="shared" ref="AA44:AA75" si="6">IF(OR(M44="Y",N44="Y",O44="Y",P44="Y"),1,0)</f>
        <v>1</v>
      </c>
      <c r="AB44" s="793"/>
      <c r="AC44" s="52"/>
      <c r="AD44" s="52"/>
      <c r="AE44" s="57"/>
      <c r="AF44" s="57"/>
      <c r="AG44" s="57"/>
      <c r="AH44" s="57"/>
    </row>
    <row r="45" spans="1:34">
      <c r="A45" s="78">
        <v>33</v>
      </c>
      <c r="B45" s="67"/>
      <c r="C45" s="68">
        <v>204</v>
      </c>
      <c r="D45" s="69">
        <v>204</v>
      </c>
      <c r="E45" s="70">
        <v>0.5</v>
      </c>
      <c r="F45" s="70">
        <v>0.5</v>
      </c>
      <c r="G45" s="70">
        <v>0.5</v>
      </c>
      <c r="H45" s="70">
        <v>0.5</v>
      </c>
      <c r="I45" s="70">
        <v>0.5</v>
      </c>
      <c r="J45" s="70"/>
      <c r="K45" s="72">
        <v>26.47</v>
      </c>
      <c r="L45" s="73">
        <v>26.21</v>
      </c>
      <c r="M45" s="79"/>
      <c r="N45" s="80"/>
      <c r="O45" s="80"/>
      <c r="P45" s="75"/>
      <c r="Q45" s="76"/>
      <c r="R45" s="63">
        <v>36.299999999999997</v>
      </c>
      <c r="S45" s="64">
        <f t="shared" si="4"/>
        <v>13.511099200500245</v>
      </c>
      <c r="T45" s="143">
        <v>3</v>
      </c>
      <c r="U45" s="143"/>
      <c r="V45" s="225">
        <v>33</v>
      </c>
      <c r="W45" s="249">
        <f t="shared" si="3"/>
        <v>0</v>
      </c>
      <c r="X45" s="143">
        <f t="shared" si="5"/>
        <v>0</v>
      </c>
      <c r="Y45" s="143">
        <f>IF(OR(K45&gt;Cuts!$B$16, L45&gt;Cuts!B$16), 1,0)</f>
        <v>0</v>
      </c>
      <c r="Z45" s="246">
        <f>IF(OR(C45&gt;Cuts!$C$16, D45&gt;Cuts!$C$16),1,0)</f>
        <v>0</v>
      </c>
      <c r="AA45" s="306">
        <f t="shared" si="6"/>
        <v>0</v>
      </c>
      <c r="AB45" s="793"/>
      <c r="AC45" s="52"/>
      <c r="AD45" s="52"/>
      <c r="AE45" s="57"/>
      <c r="AF45" s="57"/>
      <c r="AG45" s="57"/>
      <c r="AH45" s="57"/>
    </row>
    <row r="46" spans="1:34">
      <c r="A46" s="78">
        <v>34</v>
      </c>
      <c r="B46" s="67"/>
      <c r="C46" s="68">
        <v>204</v>
      </c>
      <c r="D46" s="69">
        <v>204</v>
      </c>
      <c r="E46" s="70">
        <v>0.51</v>
      </c>
      <c r="F46" s="70">
        <v>0.5</v>
      </c>
      <c r="G46" s="70">
        <v>0.5</v>
      </c>
      <c r="H46" s="70">
        <v>0.5</v>
      </c>
      <c r="I46" s="70">
        <v>0.5</v>
      </c>
      <c r="J46" s="70"/>
      <c r="K46" s="72">
        <v>26.44</v>
      </c>
      <c r="L46" s="73">
        <v>26.23</v>
      </c>
      <c r="M46" s="79"/>
      <c r="N46" s="80" t="s">
        <v>89</v>
      </c>
      <c r="O46" s="80" t="s">
        <v>89</v>
      </c>
      <c r="P46" s="75"/>
      <c r="Q46" s="76" t="s">
        <v>93</v>
      </c>
      <c r="R46" s="63">
        <v>36.299999999999997</v>
      </c>
      <c r="S46" s="64">
        <f t="shared" si="4"/>
        <v>13.459825136181168</v>
      </c>
      <c r="T46" s="143">
        <v>3</v>
      </c>
      <c r="U46" s="143"/>
      <c r="V46" s="225">
        <v>34</v>
      </c>
      <c r="W46" s="249">
        <f t="shared" si="3"/>
        <v>1.0000000000000009E-2</v>
      </c>
      <c r="X46" s="143">
        <f t="shared" si="5"/>
        <v>0</v>
      </c>
      <c r="Y46" s="143">
        <f>IF(OR(K46&gt;Cuts!$B$16, L46&gt;Cuts!B$16), 1,0)</f>
        <v>0</v>
      </c>
      <c r="Z46" s="246">
        <f>IF(OR(C46&gt;Cuts!$C$16, D46&gt;Cuts!$C$16),1,0)</f>
        <v>0</v>
      </c>
      <c r="AA46" s="306">
        <f t="shared" si="6"/>
        <v>0</v>
      </c>
      <c r="AB46" s="793"/>
      <c r="AC46" s="52"/>
      <c r="AD46" s="52"/>
      <c r="AE46" s="57"/>
      <c r="AF46" s="57"/>
      <c r="AG46" s="57"/>
      <c r="AH46" s="57"/>
    </row>
    <row r="47" spans="1:34">
      <c r="A47" s="78">
        <v>35</v>
      </c>
      <c r="B47" s="67"/>
      <c r="C47" s="68">
        <v>204</v>
      </c>
      <c r="D47" s="69">
        <v>204</v>
      </c>
      <c r="E47" s="70">
        <v>0.49</v>
      </c>
      <c r="F47" s="70">
        <v>0.49</v>
      </c>
      <c r="G47" s="70">
        <v>0.49</v>
      </c>
      <c r="H47" s="70">
        <v>0.48</v>
      </c>
      <c r="I47" s="70">
        <v>0.48</v>
      </c>
      <c r="J47" s="70"/>
      <c r="K47" s="72">
        <v>26.37</v>
      </c>
      <c r="L47" s="73">
        <v>26.29</v>
      </c>
      <c r="M47" s="79" t="s">
        <v>88</v>
      </c>
      <c r="N47" s="80"/>
      <c r="O47" s="80"/>
      <c r="P47" s="75"/>
      <c r="Q47" s="76" t="s">
        <v>93</v>
      </c>
      <c r="R47" s="63">
        <v>35.299999999999997</v>
      </c>
      <c r="S47" s="64">
        <f t="shared" si="4"/>
        <v>13.522513061215323</v>
      </c>
      <c r="T47" s="143">
        <v>3</v>
      </c>
      <c r="U47" s="143"/>
      <c r="V47" s="225">
        <v>35</v>
      </c>
      <c r="W47" s="249">
        <f t="shared" si="3"/>
        <v>1.0000000000000009E-2</v>
      </c>
      <c r="X47" s="143">
        <f t="shared" si="5"/>
        <v>0</v>
      </c>
      <c r="Y47" s="143">
        <f>IF(OR(K47&gt;Cuts!$B$16, L47&gt;Cuts!B$16), 1,0)</f>
        <v>0</v>
      </c>
      <c r="Z47" s="246">
        <f>IF(OR(C47&gt;Cuts!$C$16, D47&gt;Cuts!$C$16),1,0)</f>
        <v>0</v>
      </c>
      <c r="AA47" s="306">
        <f t="shared" si="6"/>
        <v>1</v>
      </c>
      <c r="AB47" s="793"/>
      <c r="AC47" s="52"/>
      <c r="AD47" s="52"/>
      <c r="AE47" s="57"/>
      <c r="AF47" s="57"/>
      <c r="AG47" s="57"/>
      <c r="AH47" s="57"/>
    </row>
    <row r="48" spans="1:34">
      <c r="A48" s="78">
        <v>36</v>
      </c>
      <c r="B48" s="67"/>
      <c r="C48" s="68">
        <v>204</v>
      </c>
      <c r="D48" s="69">
        <v>204</v>
      </c>
      <c r="E48" s="70">
        <v>0.5</v>
      </c>
      <c r="F48" s="70">
        <v>0.51</v>
      </c>
      <c r="G48" s="70">
        <v>0.51</v>
      </c>
      <c r="H48" s="70">
        <v>0.51</v>
      </c>
      <c r="I48" s="70">
        <v>0.51</v>
      </c>
      <c r="J48" s="70"/>
      <c r="K48" s="72">
        <v>26.41</v>
      </c>
      <c r="L48" s="73">
        <v>26.18</v>
      </c>
      <c r="M48" s="79"/>
      <c r="N48" s="80" t="s">
        <v>89</v>
      </c>
      <c r="O48" s="80"/>
      <c r="P48" s="75"/>
      <c r="Q48" s="76" t="s">
        <v>93</v>
      </c>
      <c r="R48" s="63">
        <v>36.799999999999997</v>
      </c>
      <c r="S48" s="64">
        <f t="shared" si="4"/>
        <v>13.504570107992228</v>
      </c>
      <c r="T48" s="143">
        <v>3</v>
      </c>
      <c r="U48" s="143"/>
      <c r="V48" s="225">
        <v>36</v>
      </c>
      <c r="W48" s="249">
        <f t="shared" si="3"/>
        <v>1.0000000000000009E-2</v>
      </c>
      <c r="X48" s="143">
        <f t="shared" si="5"/>
        <v>0</v>
      </c>
      <c r="Y48" s="143">
        <f>IF(OR(K48&gt;Cuts!$B$16, L48&gt;Cuts!B$16), 1,0)</f>
        <v>0</v>
      </c>
      <c r="Z48" s="246">
        <f>IF(OR(C48&gt;Cuts!$C$16, D48&gt;Cuts!$C$16),1,0)</f>
        <v>0</v>
      </c>
      <c r="AA48" s="306">
        <f t="shared" si="6"/>
        <v>0</v>
      </c>
      <c r="AB48" s="793"/>
      <c r="AC48" s="52"/>
      <c r="AD48" s="52"/>
      <c r="AE48" s="57"/>
      <c r="AF48" s="57"/>
      <c r="AG48" s="57"/>
      <c r="AH48" s="57"/>
    </row>
    <row r="49" spans="1:34">
      <c r="A49" s="78">
        <v>37</v>
      </c>
      <c r="B49" s="67"/>
      <c r="C49" s="68">
        <v>204</v>
      </c>
      <c r="D49" s="69">
        <v>204</v>
      </c>
      <c r="E49" s="70">
        <v>0.5</v>
      </c>
      <c r="F49" s="70">
        <v>0.5</v>
      </c>
      <c r="G49" s="70">
        <v>0.5</v>
      </c>
      <c r="H49" s="70">
        <v>0.5</v>
      </c>
      <c r="I49" s="70">
        <v>0.51</v>
      </c>
      <c r="J49" s="70"/>
      <c r="K49" s="72">
        <v>26.19</v>
      </c>
      <c r="L49" s="73">
        <v>26.1</v>
      </c>
      <c r="M49" s="79"/>
      <c r="N49" s="80" t="s">
        <v>89</v>
      </c>
      <c r="O49" s="80" t="s">
        <v>89</v>
      </c>
      <c r="P49" s="75"/>
      <c r="Q49" s="77" t="s">
        <v>92</v>
      </c>
      <c r="R49" s="63">
        <v>35.9</v>
      </c>
      <c r="S49" s="64">
        <f t="shared" si="4"/>
        <v>13.408244410528679</v>
      </c>
      <c r="T49" s="143">
        <v>3</v>
      </c>
      <c r="U49" s="143"/>
      <c r="V49" s="225">
        <v>37</v>
      </c>
      <c r="W49" s="249">
        <f t="shared" si="3"/>
        <v>1.0000000000000009E-2</v>
      </c>
      <c r="X49" s="143">
        <f t="shared" si="5"/>
        <v>0</v>
      </c>
      <c r="Y49" s="143">
        <f>IF(OR(K49&gt;Cuts!$B$16, L49&gt;Cuts!B$16), 1,0)</f>
        <v>0</v>
      </c>
      <c r="Z49" s="246">
        <f>IF(OR(C49&gt;Cuts!$C$16, D49&gt;Cuts!$C$16),1,0)</f>
        <v>0</v>
      </c>
      <c r="AA49" s="306">
        <f t="shared" si="6"/>
        <v>0</v>
      </c>
      <c r="AB49" s="793"/>
      <c r="AC49" s="52"/>
      <c r="AD49" s="52"/>
      <c r="AE49" s="57"/>
      <c r="AF49" s="57"/>
      <c r="AG49" s="57"/>
      <c r="AH49" s="57"/>
    </row>
    <row r="50" spans="1:34">
      <c r="A50" s="78">
        <v>38</v>
      </c>
      <c r="B50" s="67"/>
      <c r="C50" s="68">
        <v>204</v>
      </c>
      <c r="D50" s="69">
        <v>204</v>
      </c>
      <c r="E50" s="70">
        <v>0.51</v>
      </c>
      <c r="F50" s="70">
        <v>0.5</v>
      </c>
      <c r="G50" s="70">
        <v>0.5</v>
      </c>
      <c r="H50" s="70">
        <v>0.5</v>
      </c>
      <c r="I50" s="70">
        <v>0.5</v>
      </c>
      <c r="J50" s="70"/>
      <c r="K50" s="72">
        <v>26.23</v>
      </c>
      <c r="L50" s="73">
        <v>26.38</v>
      </c>
      <c r="M50" s="79"/>
      <c r="N50" s="80"/>
      <c r="O50" s="80" t="s">
        <v>89</v>
      </c>
      <c r="P50" s="75"/>
      <c r="Q50" s="77"/>
      <c r="R50" s="63">
        <v>36.1</v>
      </c>
      <c r="S50" s="64">
        <f t="shared" si="4"/>
        <v>13.400932238635308</v>
      </c>
      <c r="T50" s="143">
        <v>3</v>
      </c>
      <c r="U50" s="143"/>
      <c r="V50" s="225">
        <v>38</v>
      </c>
      <c r="W50" s="249">
        <f t="shared" si="3"/>
        <v>1.0000000000000009E-2</v>
      </c>
      <c r="X50" s="143">
        <f t="shared" si="5"/>
        <v>0</v>
      </c>
      <c r="Y50" s="143">
        <f>IF(OR(K50&gt;Cuts!$B$16, L50&gt;Cuts!B$16), 1,0)</f>
        <v>0</v>
      </c>
      <c r="Z50" s="246">
        <f>IF(OR(C50&gt;Cuts!$C$16, D50&gt;Cuts!$C$16),1,0)</f>
        <v>0</v>
      </c>
      <c r="AA50" s="306">
        <f t="shared" si="6"/>
        <v>0</v>
      </c>
      <c r="AB50" s="793"/>
      <c r="AC50" s="52"/>
      <c r="AD50" s="52"/>
      <c r="AE50" s="57"/>
      <c r="AF50" s="57"/>
      <c r="AG50" s="57"/>
      <c r="AH50" s="57"/>
    </row>
    <row r="51" spans="1:34">
      <c r="A51" s="78">
        <v>39</v>
      </c>
      <c r="B51" s="67"/>
      <c r="C51" s="68">
        <v>204</v>
      </c>
      <c r="D51" s="69">
        <v>204</v>
      </c>
      <c r="E51" s="70">
        <v>0.5</v>
      </c>
      <c r="F51" s="70">
        <v>0.5</v>
      </c>
      <c r="G51" s="70">
        <v>0.5</v>
      </c>
      <c r="H51" s="70">
        <v>0.5</v>
      </c>
      <c r="I51" s="70">
        <v>0.5</v>
      </c>
      <c r="J51" s="70"/>
      <c r="K51" s="72">
        <v>26.45</v>
      </c>
      <c r="L51" s="73">
        <v>26.24</v>
      </c>
      <c r="M51" s="79"/>
      <c r="N51" s="80" t="s">
        <v>89</v>
      </c>
      <c r="O51" s="80"/>
      <c r="P51" s="75"/>
      <c r="Q51" s="76"/>
      <c r="R51" s="63">
        <v>35.9</v>
      </c>
      <c r="S51" s="64">
        <f t="shared" si="4"/>
        <v>13.35968055850163</v>
      </c>
      <c r="T51" s="143">
        <v>3</v>
      </c>
      <c r="U51" s="143"/>
      <c r="V51" s="225">
        <v>39</v>
      </c>
      <c r="W51" s="249">
        <f t="shared" si="3"/>
        <v>0</v>
      </c>
      <c r="X51" s="143">
        <f t="shared" si="5"/>
        <v>0</v>
      </c>
      <c r="Y51" s="143">
        <f>IF(OR(K51&gt;Cuts!$B$16, L51&gt;Cuts!B$16), 1,0)</f>
        <v>0</v>
      </c>
      <c r="Z51" s="246">
        <f>IF(OR(C51&gt;Cuts!$C$16, D51&gt;Cuts!$C$16),1,0)</f>
        <v>0</v>
      </c>
      <c r="AA51" s="306">
        <f t="shared" si="6"/>
        <v>0</v>
      </c>
      <c r="AB51" s="793"/>
      <c r="AC51" s="52"/>
      <c r="AD51" s="52"/>
      <c r="AE51" s="57"/>
      <c r="AF51" s="57"/>
      <c r="AG51" s="57"/>
      <c r="AH51" s="57"/>
    </row>
    <row r="52" spans="1:34">
      <c r="A52" s="78">
        <v>40</v>
      </c>
      <c r="B52" s="67"/>
      <c r="C52" s="68">
        <v>204</v>
      </c>
      <c r="D52" s="69">
        <v>204</v>
      </c>
      <c r="E52" s="70">
        <v>0.5</v>
      </c>
      <c r="F52" s="70">
        <v>0.5</v>
      </c>
      <c r="G52" s="70">
        <v>0.5</v>
      </c>
      <c r="H52" s="70">
        <v>0.49</v>
      </c>
      <c r="I52" s="70">
        <v>0.49</v>
      </c>
      <c r="J52" s="70"/>
      <c r="K52" s="72">
        <v>26.29</v>
      </c>
      <c r="L52" s="73">
        <v>26.37</v>
      </c>
      <c r="M52" s="79"/>
      <c r="N52" s="80" t="s">
        <v>89</v>
      </c>
      <c r="O52" s="80"/>
      <c r="P52" s="75"/>
      <c r="Q52" s="76" t="s">
        <v>93</v>
      </c>
      <c r="R52" s="63">
        <v>35.5</v>
      </c>
      <c r="S52" s="64">
        <f t="shared" si="4"/>
        <v>13.324951901052495</v>
      </c>
      <c r="T52" s="143">
        <v>3</v>
      </c>
      <c r="U52" s="143"/>
      <c r="V52" s="225">
        <v>40</v>
      </c>
      <c r="W52" s="249">
        <f t="shared" si="3"/>
        <v>1.0000000000000009E-2</v>
      </c>
      <c r="X52" s="143">
        <f t="shared" si="5"/>
        <v>0</v>
      </c>
      <c r="Y52" s="143">
        <f>IF(OR(K52&gt;Cuts!$B$16, L52&gt;Cuts!B$16), 1,0)</f>
        <v>0</v>
      </c>
      <c r="Z52" s="246">
        <f>IF(OR(C52&gt;Cuts!$C$16, D52&gt;Cuts!$C$16),1,0)</f>
        <v>0</v>
      </c>
      <c r="AA52" s="306">
        <f t="shared" si="6"/>
        <v>0</v>
      </c>
      <c r="AB52" s="793"/>
      <c r="AC52" s="52"/>
      <c r="AD52" s="52"/>
      <c r="AE52" s="57"/>
      <c r="AF52" s="57"/>
      <c r="AG52" s="57"/>
      <c r="AH52" s="57"/>
    </row>
    <row r="53" spans="1:34">
      <c r="A53" s="78">
        <v>41</v>
      </c>
      <c r="B53" s="67"/>
      <c r="C53" s="68">
        <v>204</v>
      </c>
      <c r="D53" s="69">
        <v>204</v>
      </c>
      <c r="E53" s="70">
        <v>0.51</v>
      </c>
      <c r="F53" s="70">
        <v>0.51</v>
      </c>
      <c r="G53" s="70">
        <v>0.5</v>
      </c>
      <c r="H53" s="70">
        <v>0.5</v>
      </c>
      <c r="I53" s="70">
        <v>0.5</v>
      </c>
      <c r="J53" s="70"/>
      <c r="K53" s="72">
        <v>26.42</v>
      </c>
      <c r="L53" s="73">
        <v>26.24</v>
      </c>
      <c r="M53" s="79"/>
      <c r="N53" s="80"/>
      <c r="O53" s="80"/>
      <c r="P53" s="75"/>
      <c r="Q53" s="76"/>
      <c r="R53" s="63">
        <v>36.6</v>
      </c>
      <c r="S53" s="64">
        <f t="shared" si="4"/>
        <v>13.519776818183916</v>
      </c>
      <c r="T53" s="143">
        <v>3</v>
      </c>
      <c r="U53" s="143"/>
      <c r="V53" s="225">
        <v>41</v>
      </c>
      <c r="W53" s="249">
        <f t="shared" si="3"/>
        <v>1.0000000000000009E-2</v>
      </c>
      <c r="X53" s="143">
        <f t="shared" si="5"/>
        <v>0</v>
      </c>
      <c r="Y53" s="143">
        <f>IF(OR(K53&gt;Cuts!$B$16, L53&gt;Cuts!B$16), 1,0)</f>
        <v>0</v>
      </c>
      <c r="Z53" s="246">
        <f>IF(OR(C53&gt;Cuts!$C$16, D53&gt;Cuts!$C$16),1,0)</f>
        <v>0</v>
      </c>
      <c r="AA53" s="306">
        <f t="shared" si="6"/>
        <v>0</v>
      </c>
      <c r="AB53" s="793"/>
      <c r="AC53" s="52"/>
      <c r="AD53" s="52"/>
      <c r="AE53" s="57"/>
      <c r="AF53" s="57"/>
      <c r="AG53" s="57"/>
      <c r="AH53" s="57"/>
    </row>
    <row r="54" spans="1:34">
      <c r="A54" s="78">
        <v>42</v>
      </c>
      <c r="B54" s="67"/>
      <c r="C54" s="68">
        <v>204</v>
      </c>
      <c r="D54" s="69">
        <v>204</v>
      </c>
      <c r="E54" s="70">
        <v>0.5</v>
      </c>
      <c r="F54" s="70">
        <v>0.5</v>
      </c>
      <c r="G54" s="70">
        <v>0.5</v>
      </c>
      <c r="H54" s="70">
        <v>0.5</v>
      </c>
      <c r="I54" s="70">
        <v>0.49</v>
      </c>
      <c r="J54" s="70"/>
      <c r="K54" s="72">
        <v>26.36</v>
      </c>
      <c r="L54" s="73">
        <v>26.22</v>
      </c>
      <c r="M54" s="79"/>
      <c r="N54" s="80" t="s">
        <v>89</v>
      </c>
      <c r="O54" s="80" t="s">
        <v>89</v>
      </c>
      <c r="P54" s="75"/>
      <c r="Q54" s="77" t="s">
        <v>96</v>
      </c>
      <c r="R54" s="63">
        <v>36.1</v>
      </c>
      <c r="S54" s="64">
        <f t="shared" si="4"/>
        <v>13.516277686915444</v>
      </c>
      <c r="T54" s="143">
        <v>3</v>
      </c>
      <c r="U54" s="143"/>
      <c r="V54" s="225">
        <v>42</v>
      </c>
      <c r="W54" s="249">
        <f t="shared" si="3"/>
        <v>1.0000000000000009E-2</v>
      </c>
      <c r="X54" s="143">
        <f t="shared" si="5"/>
        <v>0</v>
      </c>
      <c r="Y54" s="143">
        <f>IF(OR(K54&gt;Cuts!$B$16, L54&gt;Cuts!B$16), 1,0)</f>
        <v>0</v>
      </c>
      <c r="Z54" s="246">
        <f>IF(OR(C54&gt;Cuts!$C$16, D54&gt;Cuts!$C$16),1,0)</f>
        <v>0</v>
      </c>
      <c r="AA54" s="306">
        <f t="shared" si="6"/>
        <v>0</v>
      </c>
      <c r="AB54" s="793"/>
      <c r="AC54" s="52"/>
      <c r="AD54" s="52"/>
      <c r="AE54" s="57"/>
      <c r="AF54" s="57"/>
      <c r="AG54" s="57"/>
      <c r="AH54" s="57"/>
    </row>
    <row r="55" spans="1:34">
      <c r="A55" s="78">
        <v>43</v>
      </c>
      <c r="B55" s="67"/>
      <c r="C55" s="68">
        <v>204</v>
      </c>
      <c r="D55" s="69">
        <v>204</v>
      </c>
      <c r="E55" s="70">
        <v>0.5</v>
      </c>
      <c r="F55" s="70">
        <v>0.5</v>
      </c>
      <c r="G55" s="70">
        <v>0.5</v>
      </c>
      <c r="H55" s="70">
        <v>0.5</v>
      </c>
      <c r="I55" s="70">
        <v>0.5</v>
      </c>
      <c r="J55" s="70"/>
      <c r="K55" s="72">
        <v>26.26</v>
      </c>
      <c r="L55" s="73">
        <v>26.34</v>
      </c>
      <c r="M55" s="79" t="s">
        <v>89</v>
      </c>
      <c r="N55" s="80"/>
      <c r="O55" s="80"/>
      <c r="P55" s="75"/>
      <c r="Q55" s="76" t="s">
        <v>94</v>
      </c>
      <c r="R55" s="63">
        <v>36.1</v>
      </c>
      <c r="S55" s="64">
        <f t="shared" si="4"/>
        <v>13.457093864161635</v>
      </c>
      <c r="T55" s="143">
        <v>3</v>
      </c>
      <c r="U55" s="143"/>
      <c r="V55" s="225">
        <v>43</v>
      </c>
      <c r="W55" s="249">
        <f t="shared" si="3"/>
        <v>0</v>
      </c>
      <c r="X55" s="143">
        <f t="shared" si="5"/>
        <v>0</v>
      </c>
      <c r="Y55" s="143">
        <f>IF(OR(K55&gt;Cuts!$B$16, L55&gt;Cuts!B$16), 1,0)</f>
        <v>0</v>
      </c>
      <c r="Z55" s="246">
        <f>IF(OR(C55&gt;Cuts!$C$16, D55&gt;Cuts!$C$16),1,0)</f>
        <v>0</v>
      </c>
      <c r="AA55" s="306">
        <f t="shared" si="6"/>
        <v>0</v>
      </c>
      <c r="AB55" s="793"/>
      <c r="AC55" s="52"/>
      <c r="AD55" s="52"/>
      <c r="AE55" s="57"/>
      <c r="AF55" s="57"/>
      <c r="AG55" s="57"/>
      <c r="AH55" s="57"/>
    </row>
    <row r="56" spans="1:34">
      <c r="A56" s="78">
        <v>44</v>
      </c>
      <c r="B56" s="67"/>
      <c r="C56" s="68">
        <v>204</v>
      </c>
      <c r="D56" s="69">
        <v>204</v>
      </c>
      <c r="E56" s="70">
        <v>0.5</v>
      </c>
      <c r="F56" s="70">
        <v>0.5</v>
      </c>
      <c r="G56" s="70">
        <v>0.5</v>
      </c>
      <c r="H56" s="70">
        <v>0.49</v>
      </c>
      <c r="I56" s="70">
        <v>0.49</v>
      </c>
      <c r="J56" s="70"/>
      <c r="K56" s="72">
        <v>26.32</v>
      </c>
      <c r="L56" s="73">
        <v>26.22</v>
      </c>
      <c r="M56" s="79"/>
      <c r="N56" s="80"/>
      <c r="O56" s="80"/>
      <c r="P56" s="75" t="s">
        <v>89</v>
      </c>
      <c r="Q56" s="76" t="s">
        <v>93</v>
      </c>
      <c r="R56" s="63">
        <v>36</v>
      </c>
      <c r="S56" s="64">
        <f t="shared" si="4"/>
        <v>13.543489770873046</v>
      </c>
      <c r="T56" s="143">
        <v>3</v>
      </c>
      <c r="U56" s="143"/>
      <c r="V56" s="225">
        <v>44</v>
      </c>
      <c r="W56" s="249">
        <f t="shared" si="3"/>
        <v>1.0000000000000009E-2</v>
      </c>
      <c r="X56" s="143">
        <f t="shared" si="5"/>
        <v>0</v>
      </c>
      <c r="Y56" s="143">
        <f>IF(OR(K56&gt;Cuts!$B$16, L56&gt;Cuts!B$16), 1,0)</f>
        <v>0</v>
      </c>
      <c r="Z56" s="246">
        <f>IF(OR(C56&gt;Cuts!$C$16, D56&gt;Cuts!$C$16),1,0)</f>
        <v>0</v>
      </c>
      <c r="AA56" s="306">
        <f t="shared" si="6"/>
        <v>0</v>
      </c>
      <c r="AB56" s="793"/>
      <c r="AC56" s="52"/>
      <c r="AD56" s="52"/>
      <c r="AE56" s="57"/>
      <c r="AF56" s="57"/>
      <c r="AG56" s="57"/>
      <c r="AH56" s="57"/>
    </row>
    <row r="57" spans="1:34">
      <c r="A57" s="78">
        <v>45</v>
      </c>
      <c r="B57" s="67"/>
      <c r="C57" s="68">
        <v>204</v>
      </c>
      <c r="D57" s="69">
        <v>204</v>
      </c>
      <c r="E57" s="70">
        <v>0.51</v>
      </c>
      <c r="F57" s="70">
        <v>0.51</v>
      </c>
      <c r="G57" s="70">
        <v>0.5</v>
      </c>
      <c r="H57" s="70">
        <v>0.5</v>
      </c>
      <c r="I57" s="70">
        <v>0.5</v>
      </c>
      <c r="J57" s="70"/>
      <c r="K57" s="72">
        <v>26.38</v>
      </c>
      <c r="L57" s="73">
        <v>26.22</v>
      </c>
      <c r="M57" s="79"/>
      <c r="N57" s="80"/>
      <c r="O57" s="80"/>
      <c r="P57" s="75" t="s">
        <v>89</v>
      </c>
      <c r="Q57" s="76"/>
      <c r="R57" s="63">
        <v>36.5</v>
      </c>
      <c r="S57" s="64">
        <f t="shared" si="4"/>
        <v>13.498217199849945</v>
      </c>
      <c r="T57" s="143">
        <v>3</v>
      </c>
      <c r="U57" s="143"/>
      <c r="V57" s="225">
        <v>45</v>
      </c>
      <c r="W57" s="249">
        <f t="shared" si="3"/>
        <v>1.0000000000000009E-2</v>
      </c>
      <c r="X57" s="143">
        <f t="shared" si="5"/>
        <v>0</v>
      </c>
      <c r="Y57" s="143">
        <f>IF(OR(K57&gt;Cuts!$B$16, L57&gt;Cuts!B$16), 1,0)</f>
        <v>0</v>
      </c>
      <c r="Z57" s="246">
        <f>IF(OR(C57&gt;Cuts!$C$16, D57&gt;Cuts!$C$16),1,0)</f>
        <v>0</v>
      </c>
      <c r="AA57" s="306">
        <f t="shared" si="6"/>
        <v>0</v>
      </c>
      <c r="AB57" s="793"/>
      <c r="AC57" s="52"/>
      <c r="AD57" s="52"/>
      <c r="AE57" s="57"/>
      <c r="AF57" s="57"/>
      <c r="AG57" s="57"/>
      <c r="AH57" s="57"/>
    </row>
    <row r="58" spans="1:34">
      <c r="A58" s="78">
        <v>46</v>
      </c>
      <c r="B58" s="67"/>
      <c r="C58" s="68">
        <v>204</v>
      </c>
      <c r="D58" s="69">
        <v>204</v>
      </c>
      <c r="E58" s="70">
        <v>0.5</v>
      </c>
      <c r="F58" s="70">
        <v>0.5</v>
      </c>
      <c r="G58" s="70">
        <v>0.5</v>
      </c>
      <c r="H58" s="70">
        <v>0.51</v>
      </c>
      <c r="I58" s="70">
        <v>0.51</v>
      </c>
      <c r="J58" s="70"/>
      <c r="K58" s="72">
        <v>26.22</v>
      </c>
      <c r="L58" s="73">
        <v>26.32</v>
      </c>
      <c r="M58" s="79" t="s">
        <v>89</v>
      </c>
      <c r="N58" s="80"/>
      <c r="O58" s="80"/>
      <c r="P58" s="75"/>
      <c r="Q58" s="77"/>
      <c r="R58" s="63">
        <v>36.6</v>
      </c>
      <c r="S58" s="64">
        <f t="shared" si="4"/>
        <v>13.550655638476687</v>
      </c>
      <c r="T58" s="143">
        <v>3</v>
      </c>
      <c r="U58" s="143"/>
      <c r="V58" s="225">
        <v>46</v>
      </c>
      <c r="W58" s="249">
        <f t="shared" si="3"/>
        <v>1.0000000000000009E-2</v>
      </c>
      <c r="X58" s="143">
        <f t="shared" si="5"/>
        <v>0</v>
      </c>
      <c r="Y58" s="143">
        <f>IF(OR(K58&gt;Cuts!$B$16, L58&gt;Cuts!B$16), 1,0)</f>
        <v>0</v>
      </c>
      <c r="Z58" s="246">
        <f>IF(OR(C58&gt;Cuts!$C$16, D58&gt;Cuts!$C$16),1,0)</f>
        <v>0</v>
      </c>
      <c r="AA58" s="306">
        <f t="shared" si="6"/>
        <v>0</v>
      </c>
      <c r="AB58" s="793"/>
      <c r="AC58" s="52"/>
      <c r="AD58" s="52"/>
      <c r="AE58" s="57"/>
      <c r="AF58" s="57"/>
      <c r="AG58" s="57"/>
      <c r="AH58" s="57"/>
    </row>
    <row r="59" spans="1:34">
      <c r="A59" s="78">
        <v>47</v>
      </c>
      <c r="B59" s="67"/>
      <c r="C59" s="68">
        <v>204</v>
      </c>
      <c r="D59" s="69">
        <v>204</v>
      </c>
      <c r="E59" s="70">
        <v>0.5</v>
      </c>
      <c r="F59" s="70">
        <v>0.49</v>
      </c>
      <c r="G59" s="70">
        <v>0.49</v>
      </c>
      <c r="H59" s="70">
        <v>0.49</v>
      </c>
      <c r="I59" s="70">
        <v>0.49</v>
      </c>
      <c r="J59" s="70"/>
      <c r="K59" s="72">
        <v>26.3</v>
      </c>
      <c r="L59" s="73">
        <v>26.37</v>
      </c>
      <c r="M59" s="79" t="s">
        <v>89</v>
      </c>
      <c r="N59" s="80"/>
      <c r="O59" s="80"/>
      <c r="P59" s="75"/>
      <c r="Q59" s="76"/>
      <c r="R59" s="63">
        <v>35.4</v>
      </c>
      <c r="S59" s="64">
        <f t="shared" si="4"/>
        <v>13.392901326460187</v>
      </c>
      <c r="T59" s="143">
        <v>3</v>
      </c>
      <c r="U59" s="143"/>
      <c r="V59" s="225">
        <v>47</v>
      </c>
      <c r="W59" s="249">
        <f t="shared" si="3"/>
        <v>1.0000000000000009E-2</v>
      </c>
      <c r="X59" s="143">
        <f t="shared" si="5"/>
        <v>0</v>
      </c>
      <c r="Y59" s="143">
        <f>IF(OR(K59&gt;Cuts!$B$16, L59&gt;Cuts!B$16), 1,0)</f>
        <v>0</v>
      </c>
      <c r="Z59" s="246">
        <f>IF(OR(C59&gt;Cuts!$C$16, D59&gt;Cuts!$C$16),1,0)</f>
        <v>0</v>
      </c>
      <c r="AA59" s="306">
        <f t="shared" si="6"/>
        <v>0</v>
      </c>
      <c r="AB59" s="793"/>
      <c r="AC59" s="52"/>
      <c r="AD59" s="52"/>
      <c r="AE59" s="57"/>
      <c r="AF59" s="57"/>
      <c r="AG59" s="57"/>
      <c r="AH59" s="57"/>
    </row>
    <row r="60" spans="1:34">
      <c r="A60" s="78">
        <v>48</v>
      </c>
      <c r="B60" s="67"/>
      <c r="C60" s="68">
        <v>204</v>
      </c>
      <c r="D60" s="69">
        <v>204</v>
      </c>
      <c r="E60" s="70">
        <v>0.5</v>
      </c>
      <c r="F60" s="70">
        <v>0.5</v>
      </c>
      <c r="G60" s="70">
        <v>0.5</v>
      </c>
      <c r="H60" s="70">
        <v>0.51</v>
      </c>
      <c r="I60" s="70">
        <v>0.51</v>
      </c>
      <c r="J60" s="70"/>
      <c r="K60" s="72">
        <v>26.45</v>
      </c>
      <c r="L60" s="73">
        <v>26.25</v>
      </c>
      <c r="M60" s="79"/>
      <c r="N60" s="80"/>
      <c r="O60" s="80"/>
      <c r="P60" s="75"/>
      <c r="Q60" s="76" t="s">
        <v>93</v>
      </c>
      <c r="R60" s="63">
        <v>36.6</v>
      </c>
      <c r="S60" s="64">
        <f t="shared" si="4"/>
        <v>13.509515127999336</v>
      </c>
      <c r="T60" s="143">
        <v>3</v>
      </c>
      <c r="U60" s="143"/>
      <c r="V60" s="225">
        <v>48</v>
      </c>
      <c r="W60" s="249">
        <f t="shared" si="3"/>
        <v>1.0000000000000009E-2</v>
      </c>
      <c r="X60" s="143">
        <f t="shared" si="5"/>
        <v>0</v>
      </c>
      <c r="Y60" s="143">
        <f>IF(OR(K60&gt;Cuts!$B$16, L60&gt;Cuts!B$16), 1,0)</f>
        <v>0</v>
      </c>
      <c r="Z60" s="246">
        <f>IF(OR(C60&gt;Cuts!$C$16, D60&gt;Cuts!$C$16),1,0)</f>
        <v>0</v>
      </c>
      <c r="AA60" s="306">
        <f t="shared" si="6"/>
        <v>0</v>
      </c>
      <c r="AB60" s="793"/>
      <c r="AC60" s="52"/>
      <c r="AD60" s="52"/>
      <c r="AE60" s="57"/>
      <c r="AF60" s="57"/>
      <c r="AG60" s="57"/>
      <c r="AH60" s="57"/>
    </row>
    <row r="61" spans="1:34">
      <c r="A61" s="78">
        <v>49</v>
      </c>
      <c r="B61" s="67"/>
      <c r="C61" s="68">
        <v>204</v>
      </c>
      <c r="D61" s="69">
        <v>204</v>
      </c>
      <c r="E61" s="70">
        <v>0.49</v>
      </c>
      <c r="F61" s="70">
        <v>0.5</v>
      </c>
      <c r="G61" s="70">
        <v>0.49</v>
      </c>
      <c r="H61" s="70">
        <v>0.49</v>
      </c>
      <c r="I61" s="70">
        <v>0.49</v>
      </c>
      <c r="J61" s="70"/>
      <c r="K61" s="72">
        <v>26.36</v>
      </c>
      <c r="L61" s="73">
        <v>26.27</v>
      </c>
      <c r="M61" s="79" t="s">
        <v>89</v>
      </c>
      <c r="N61" s="80"/>
      <c r="O61" s="80"/>
      <c r="P61" s="75"/>
      <c r="Q61" s="77"/>
      <c r="R61" s="63">
        <v>35.4</v>
      </c>
      <c r="S61" s="64">
        <f t="shared" si="4"/>
        <v>13.40308023683561</v>
      </c>
      <c r="T61" s="143">
        <v>3</v>
      </c>
      <c r="U61" s="143"/>
      <c r="V61" s="225">
        <v>49</v>
      </c>
      <c r="W61" s="249">
        <f t="shared" si="3"/>
        <v>1.0000000000000009E-2</v>
      </c>
      <c r="X61" s="143">
        <f t="shared" si="5"/>
        <v>0</v>
      </c>
      <c r="Y61" s="143">
        <f>IF(OR(K61&gt;Cuts!$B$16, L61&gt;Cuts!B$16), 1,0)</f>
        <v>0</v>
      </c>
      <c r="Z61" s="246">
        <f>IF(OR(C61&gt;Cuts!$C$16, D61&gt;Cuts!$C$16),1,0)</f>
        <v>0</v>
      </c>
      <c r="AA61" s="306">
        <f t="shared" si="6"/>
        <v>0</v>
      </c>
      <c r="AB61" s="793"/>
      <c r="AC61" s="52"/>
      <c r="AD61" s="52"/>
      <c r="AE61" s="57"/>
      <c r="AF61" s="57"/>
      <c r="AG61" s="57"/>
      <c r="AH61" s="57"/>
    </row>
    <row r="62" spans="1:34">
      <c r="A62" s="78">
        <v>50</v>
      </c>
      <c r="B62" s="67"/>
      <c r="C62" s="68">
        <v>204</v>
      </c>
      <c r="D62" s="69">
        <v>204</v>
      </c>
      <c r="E62" s="70">
        <v>0.49</v>
      </c>
      <c r="F62" s="70">
        <v>0.5</v>
      </c>
      <c r="G62" s="70">
        <v>0.5</v>
      </c>
      <c r="H62" s="70">
        <v>0.5</v>
      </c>
      <c r="I62" s="70">
        <v>0.5</v>
      </c>
      <c r="J62" s="70"/>
      <c r="K62" s="72">
        <v>26.36</v>
      </c>
      <c r="L62" s="73">
        <v>26.24</v>
      </c>
      <c r="M62" s="79"/>
      <c r="N62" s="80"/>
      <c r="O62" s="80"/>
      <c r="P62" s="75"/>
      <c r="Q62" s="76" t="s">
        <v>93</v>
      </c>
      <c r="R62" s="63">
        <v>36.1</v>
      </c>
      <c r="S62" s="64">
        <f t="shared" si="4"/>
        <v>13.511138417832967</v>
      </c>
      <c r="T62" s="143">
        <v>3</v>
      </c>
      <c r="U62" s="143"/>
      <c r="V62" s="225">
        <v>50</v>
      </c>
      <c r="W62" s="249">
        <f t="shared" si="3"/>
        <v>1.0000000000000009E-2</v>
      </c>
      <c r="X62" s="143">
        <f t="shared" si="5"/>
        <v>0</v>
      </c>
      <c r="Y62" s="143">
        <f>IF(OR(K62&gt;Cuts!$B$16, L62&gt;Cuts!B$16), 1,0)</f>
        <v>0</v>
      </c>
      <c r="Z62" s="246">
        <f>IF(OR(C62&gt;Cuts!$C$16, D62&gt;Cuts!$C$16),1,0)</f>
        <v>0</v>
      </c>
      <c r="AA62" s="306">
        <f t="shared" si="6"/>
        <v>0</v>
      </c>
      <c r="AB62" s="793"/>
      <c r="AC62" s="52"/>
      <c r="AD62" s="52"/>
      <c r="AE62" s="57"/>
      <c r="AF62" s="57"/>
      <c r="AG62" s="57"/>
      <c r="AH62" s="57"/>
    </row>
    <row r="63" spans="1:34">
      <c r="A63" s="78">
        <v>51</v>
      </c>
      <c r="B63" s="67"/>
      <c r="C63" s="68">
        <v>204</v>
      </c>
      <c r="D63" s="69">
        <v>204</v>
      </c>
      <c r="E63" s="70">
        <v>0.51</v>
      </c>
      <c r="F63" s="70">
        <v>0.51</v>
      </c>
      <c r="G63" s="70">
        <v>0.51</v>
      </c>
      <c r="H63" s="70">
        <v>0.51</v>
      </c>
      <c r="I63" s="70">
        <v>0.51</v>
      </c>
      <c r="J63" s="70"/>
      <c r="K63" s="72">
        <v>26.25</v>
      </c>
      <c r="L63" s="73">
        <v>26.37</v>
      </c>
      <c r="M63" s="79"/>
      <c r="N63" s="80"/>
      <c r="O63" s="80"/>
      <c r="P63" s="75"/>
      <c r="Q63" s="76" t="s">
        <v>93</v>
      </c>
      <c r="R63" s="63">
        <v>36.9</v>
      </c>
      <c r="S63" s="64">
        <f t="shared" si="4"/>
        <v>13.480474354877103</v>
      </c>
      <c r="T63" s="143">
        <v>3</v>
      </c>
      <c r="U63" s="143"/>
      <c r="V63" s="225">
        <v>51</v>
      </c>
      <c r="W63" s="249">
        <f t="shared" si="3"/>
        <v>0</v>
      </c>
      <c r="X63" s="143">
        <f t="shared" si="5"/>
        <v>0</v>
      </c>
      <c r="Y63" s="143">
        <f>IF(OR(K63&gt;Cuts!$B$16, L63&gt;Cuts!B$16), 1,0)</f>
        <v>0</v>
      </c>
      <c r="Z63" s="246">
        <f>IF(OR(C63&gt;Cuts!$C$16, D63&gt;Cuts!$C$16),1,0)</f>
        <v>0</v>
      </c>
      <c r="AA63" s="306">
        <f t="shared" si="6"/>
        <v>0</v>
      </c>
      <c r="AB63" s="793"/>
      <c r="AC63" s="52"/>
      <c r="AD63" s="52"/>
      <c r="AE63" s="57"/>
      <c r="AF63" s="57"/>
      <c r="AG63" s="57"/>
      <c r="AH63" s="57"/>
    </row>
    <row r="64" spans="1:34">
      <c r="A64" s="78">
        <v>52</v>
      </c>
      <c r="B64" s="67"/>
      <c r="C64" s="68">
        <v>204</v>
      </c>
      <c r="D64" s="69">
        <v>204</v>
      </c>
      <c r="E64" s="70">
        <v>0.5</v>
      </c>
      <c r="F64" s="70">
        <v>0.5</v>
      </c>
      <c r="G64" s="70">
        <v>0.5</v>
      </c>
      <c r="H64" s="70">
        <v>0.5</v>
      </c>
      <c r="I64" s="70">
        <v>0.5</v>
      </c>
      <c r="J64" s="70"/>
      <c r="K64" s="72">
        <v>26.08</v>
      </c>
      <c r="L64" s="73">
        <v>26.31</v>
      </c>
      <c r="M64" s="79"/>
      <c r="N64" s="80"/>
      <c r="O64" s="80" t="s">
        <v>89</v>
      </c>
      <c r="P64" s="75"/>
      <c r="Q64" s="76" t="s">
        <v>93</v>
      </c>
      <c r="R64" s="63">
        <v>36.299999999999997</v>
      </c>
      <c r="S64" s="64">
        <f t="shared" si="4"/>
        <v>13.585888640625175</v>
      </c>
      <c r="T64" s="143">
        <v>3</v>
      </c>
      <c r="U64" s="143"/>
      <c r="V64" s="225">
        <v>52</v>
      </c>
      <c r="W64" s="249">
        <f t="shared" si="3"/>
        <v>0</v>
      </c>
      <c r="X64" s="143">
        <f t="shared" si="5"/>
        <v>0</v>
      </c>
      <c r="Y64" s="143">
        <f>IF(OR(K64&gt;Cuts!$B$16, L64&gt;Cuts!B$16), 1,0)</f>
        <v>0</v>
      </c>
      <c r="Z64" s="246">
        <f>IF(OR(C64&gt;Cuts!$C$16, D64&gt;Cuts!$C$16),1,0)</f>
        <v>0</v>
      </c>
      <c r="AA64" s="306">
        <f t="shared" si="6"/>
        <v>0</v>
      </c>
      <c r="AB64" s="793"/>
      <c r="AC64" s="52"/>
      <c r="AD64" s="52"/>
      <c r="AE64" s="57"/>
      <c r="AF64" s="57"/>
      <c r="AG64" s="57"/>
      <c r="AH64" s="57"/>
    </row>
    <row r="65" spans="1:34">
      <c r="A65" s="78">
        <v>53</v>
      </c>
      <c r="B65" s="67"/>
      <c r="C65" s="68">
        <v>204</v>
      </c>
      <c r="D65" s="69">
        <v>204</v>
      </c>
      <c r="E65" s="70">
        <v>0.49</v>
      </c>
      <c r="F65" s="70">
        <v>0.49</v>
      </c>
      <c r="G65" s="70">
        <v>0.49</v>
      </c>
      <c r="H65" s="70">
        <v>0.49</v>
      </c>
      <c r="I65" s="70">
        <v>0.5</v>
      </c>
      <c r="J65" s="70"/>
      <c r="K65" s="72">
        <v>26.17</v>
      </c>
      <c r="L65" s="73">
        <v>26.08</v>
      </c>
      <c r="M65" s="79" t="s">
        <v>89</v>
      </c>
      <c r="N65" s="80" t="s">
        <v>88</v>
      </c>
      <c r="O65" s="80" t="s">
        <v>89</v>
      </c>
      <c r="P65" s="75"/>
      <c r="Q65" s="76"/>
      <c r="R65" s="63">
        <v>35.4</v>
      </c>
      <c r="S65" s="64">
        <f t="shared" si="4"/>
        <v>13.500557184012592</v>
      </c>
      <c r="T65" s="143">
        <v>3</v>
      </c>
      <c r="U65" s="143"/>
      <c r="V65" s="225">
        <v>53</v>
      </c>
      <c r="W65" s="249">
        <f t="shared" si="3"/>
        <v>1.0000000000000009E-2</v>
      </c>
      <c r="X65" s="143">
        <f t="shared" si="5"/>
        <v>0</v>
      </c>
      <c r="Y65" s="143">
        <f>IF(OR(K65&gt;Cuts!$B$16, L65&gt;Cuts!B$16), 1,0)</f>
        <v>0</v>
      </c>
      <c r="Z65" s="246">
        <f>IF(OR(C65&gt;Cuts!$C$16, D65&gt;Cuts!$C$16),1,0)</f>
        <v>0</v>
      </c>
      <c r="AA65" s="306">
        <f t="shared" si="6"/>
        <v>1</v>
      </c>
      <c r="AB65" s="793"/>
      <c r="AC65" s="52"/>
      <c r="AD65" s="52"/>
      <c r="AE65" s="57"/>
      <c r="AF65" s="57"/>
      <c r="AG65" s="57"/>
      <c r="AH65" s="57"/>
    </row>
    <row r="66" spans="1:34">
      <c r="A66" s="78">
        <v>54</v>
      </c>
      <c r="B66" s="67"/>
      <c r="C66" s="68">
        <v>204</v>
      </c>
      <c r="D66" s="69">
        <v>204</v>
      </c>
      <c r="E66" s="70">
        <v>0.51</v>
      </c>
      <c r="F66" s="70">
        <v>0.51</v>
      </c>
      <c r="G66" s="70">
        <v>0.51</v>
      </c>
      <c r="H66" s="70">
        <v>0.51</v>
      </c>
      <c r="I66" s="70">
        <v>0.51</v>
      </c>
      <c r="J66" s="70"/>
      <c r="K66" s="72">
        <v>26.41</v>
      </c>
      <c r="L66" s="73">
        <v>26.23</v>
      </c>
      <c r="M66" s="79"/>
      <c r="N66" s="80"/>
      <c r="O66" s="80"/>
      <c r="P66" s="75" t="s">
        <v>89</v>
      </c>
      <c r="Q66" s="77"/>
      <c r="R66" s="63">
        <v>37</v>
      </c>
      <c r="S66" s="64">
        <f t="shared" si="4"/>
        <v>13.511871164819702</v>
      </c>
      <c r="T66" s="143">
        <v>3</v>
      </c>
      <c r="U66" s="143"/>
      <c r="V66" s="225">
        <v>54</v>
      </c>
      <c r="W66" s="249">
        <f t="shared" si="3"/>
        <v>0</v>
      </c>
      <c r="X66" s="143">
        <f t="shared" si="5"/>
        <v>0</v>
      </c>
      <c r="Y66" s="143">
        <f>IF(OR(K66&gt;Cuts!$B$16, L66&gt;Cuts!B$16), 1,0)</f>
        <v>0</v>
      </c>
      <c r="Z66" s="246">
        <f>IF(OR(C66&gt;Cuts!$C$16, D66&gt;Cuts!$C$16),1,0)</f>
        <v>0</v>
      </c>
      <c r="AA66" s="306">
        <f t="shared" si="6"/>
        <v>0</v>
      </c>
      <c r="AB66" s="793"/>
      <c r="AC66" s="52"/>
      <c r="AD66" s="52"/>
      <c r="AE66" s="57"/>
      <c r="AF66" s="57"/>
      <c r="AG66" s="57"/>
      <c r="AH66" s="57"/>
    </row>
    <row r="67" spans="1:34">
      <c r="A67" s="78">
        <v>55</v>
      </c>
      <c r="B67" s="67"/>
      <c r="C67" s="68">
        <v>204</v>
      </c>
      <c r="D67" s="69">
        <v>204</v>
      </c>
      <c r="E67" s="70">
        <v>0.48</v>
      </c>
      <c r="F67" s="70">
        <v>0.48</v>
      </c>
      <c r="G67" s="70">
        <v>0.48</v>
      </c>
      <c r="H67" s="70">
        <v>0.48</v>
      </c>
      <c r="I67" s="70">
        <v>0.48</v>
      </c>
      <c r="J67" s="70"/>
      <c r="K67" s="72">
        <v>26.26</v>
      </c>
      <c r="L67" s="73">
        <v>26.4</v>
      </c>
      <c r="M67" s="79" t="s">
        <v>88</v>
      </c>
      <c r="N67" s="80" t="s">
        <v>89</v>
      </c>
      <c r="O67" s="80" t="s">
        <v>88</v>
      </c>
      <c r="P67" s="75" t="s">
        <v>89</v>
      </c>
      <c r="Q67" s="76" t="s">
        <v>93</v>
      </c>
      <c r="R67" s="63">
        <v>34.200000000000003</v>
      </c>
      <c r="S67" s="64">
        <f t="shared" si="4"/>
        <v>13.264895779808317</v>
      </c>
      <c r="T67" s="143">
        <v>3</v>
      </c>
      <c r="U67" s="143"/>
      <c r="V67" s="225">
        <v>55</v>
      </c>
      <c r="W67" s="249">
        <f t="shared" si="3"/>
        <v>0</v>
      </c>
      <c r="X67" s="143">
        <f t="shared" si="5"/>
        <v>0</v>
      </c>
      <c r="Y67" s="143">
        <f>IF(OR(K67&gt;Cuts!$B$16, L67&gt;Cuts!B$16), 1,0)</f>
        <v>0</v>
      </c>
      <c r="Z67" s="246">
        <f>IF(OR(C67&gt;Cuts!$C$16, D67&gt;Cuts!$C$16),1,0)</f>
        <v>0</v>
      </c>
      <c r="AA67" s="306">
        <f t="shared" si="6"/>
        <v>1</v>
      </c>
      <c r="AB67" s="793"/>
      <c r="AC67" s="52"/>
      <c r="AD67" s="52"/>
      <c r="AE67" s="57"/>
      <c r="AF67" s="57"/>
      <c r="AG67" s="57"/>
      <c r="AH67" s="57"/>
    </row>
    <row r="68" spans="1:34">
      <c r="A68" s="78">
        <v>56</v>
      </c>
      <c r="B68" s="67"/>
      <c r="C68" s="68">
        <v>204</v>
      </c>
      <c r="D68" s="69">
        <v>204</v>
      </c>
      <c r="E68" s="70">
        <v>0.51</v>
      </c>
      <c r="F68" s="70">
        <v>0.51</v>
      </c>
      <c r="G68" s="70">
        <v>0.51</v>
      </c>
      <c r="H68" s="70">
        <v>0.51</v>
      </c>
      <c r="I68" s="70">
        <v>0.51</v>
      </c>
      <c r="J68" s="70"/>
      <c r="K68" s="72">
        <v>26.22</v>
      </c>
      <c r="L68" s="73">
        <v>26.09</v>
      </c>
      <c r="M68" s="79" t="s">
        <v>89</v>
      </c>
      <c r="N68" s="80" t="s">
        <v>89</v>
      </c>
      <c r="O68" s="80"/>
      <c r="P68" s="75"/>
      <c r="Q68" s="77"/>
      <c r="R68" s="63">
        <v>36.700000000000003</v>
      </c>
      <c r="S68" s="64">
        <f t="shared" si="4"/>
        <v>13.48686456564101</v>
      </c>
      <c r="T68" s="143">
        <v>3</v>
      </c>
      <c r="U68" s="143"/>
      <c r="V68" s="225">
        <v>56</v>
      </c>
      <c r="W68" s="249">
        <f t="shared" si="3"/>
        <v>0</v>
      </c>
      <c r="X68" s="143">
        <f t="shared" si="5"/>
        <v>0</v>
      </c>
      <c r="Y68" s="143">
        <f>IF(OR(K68&gt;Cuts!$B$16, L68&gt;Cuts!B$16), 1,0)</f>
        <v>0</v>
      </c>
      <c r="Z68" s="246">
        <f>IF(OR(C68&gt;Cuts!$C$16, D68&gt;Cuts!$C$16),1,0)</f>
        <v>0</v>
      </c>
      <c r="AA68" s="306">
        <f t="shared" si="6"/>
        <v>0</v>
      </c>
      <c r="AB68" s="793"/>
      <c r="AC68" s="52"/>
      <c r="AD68" s="52"/>
      <c r="AE68" s="57"/>
      <c r="AF68" s="57"/>
      <c r="AG68" s="57"/>
      <c r="AH68" s="57"/>
    </row>
    <row r="69" spans="1:34">
      <c r="A69" s="78">
        <v>57</v>
      </c>
      <c r="B69" s="67"/>
      <c r="C69" s="68">
        <v>204</v>
      </c>
      <c r="D69" s="69">
        <v>204</v>
      </c>
      <c r="E69" s="70">
        <v>0.5</v>
      </c>
      <c r="F69" s="70">
        <v>0.5</v>
      </c>
      <c r="G69" s="70">
        <v>0.5</v>
      </c>
      <c r="H69" s="70">
        <v>0.5</v>
      </c>
      <c r="I69" s="70">
        <v>0.5</v>
      </c>
      <c r="J69" s="70"/>
      <c r="K69" s="72">
        <v>26.22</v>
      </c>
      <c r="L69" s="73">
        <v>26.36</v>
      </c>
      <c r="M69" s="79"/>
      <c r="N69" s="80" t="s">
        <v>88</v>
      </c>
      <c r="O69" s="80"/>
      <c r="P69" s="75"/>
      <c r="Q69" s="77"/>
      <c r="R69" s="63">
        <v>35.6</v>
      </c>
      <c r="S69" s="64">
        <f t="shared" si="4"/>
        <v>13.275755338270722</v>
      </c>
      <c r="T69" s="143">
        <v>3</v>
      </c>
      <c r="U69" s="143"/>
      <c r="V69" s="225">
        <v>57</v>
      </c>
      <c r="W69" s="249">
        <f t="shared" si="3"/>
        <v>0</v>
      </c>
      <c r="X69" s="143">
        <f t="shared" si="5"/>
        <v>0</v>
      </c>
      <c r="Y69" s="143">
        <f>IF(OR(K69&gt;Cuts!$B$16, L69&gt;Cuts!B$16), 1,0)</f>
        <v>0</v>
      </c>
      <c r="Z69" s="246">
        <f>IF(OR(C69&gt;Cuts!$C$16, D69&gt;Cuts!$C$16),1,0)</f>
        <v>0</v>
      </c>
      <c r="AA69" s="306">
        <f t="shared" si="6"/>
        <v>1</v>
      </c>
      <c r="AB69" s="793"/>
      <c r="AC69" s="52"/>
      <c r="AD69" s="52"/>
      <c r="AE69" s="57"/>
      <c r="AF69" s="57"/>
      <c r="AG69" s="57"/>
      <c r="AH69" s="57"/>
    </row>
    <row r="70" spans="1:34">
      <c r="A70" s="78">
        <v>58</v>
      </c>
      <c r="B70" s="67"/>
      <c r="C70" s="68">
        <v>204</v>
      </c>
      <c r="D70" s="69">
        <v>204</v>
      </c>
      <c r="E70" s="70">
        <v>0.51</v>
      </c>
      <c r="F70" s="70">
        <v>0.51</v>
      </c>
      <c r="G70" s="70">
        <v>0.51</v>
      </c>
      <c r="H70" s="70">
        <v>0.51</v>
      </c>
      <c r="I70" s="70">
        <v>0.51</v>
      </c>
      <c r="J70" s="70"/>
      <c r="K70" s="72">
        <v>26.45</v>
      </c>
      <c r="L70" s="73">
        <v>26.22</v>
      </c>
      <c r="M70" s="79" t="s">
        <v>89</v>
      </c>
      <c r="N70" s="80"/>
      <c r="O70" s="80" t="s">
        <v>89</v>
      </c>
      <c r="P70" s="75"/>
      <c r="Q70" s="77"/>
      <c r="R70" s="63">
        <v>37.1</v>
      </c>
      <c r="S70" s="64">
        <f t="shared" si="4"/>
        <v>13.540672786758781</v>
      </c>
      <c r="T70" s="143">
        <v>3</v>
      </c>
      <c r="U70" s="143"/>
      <c r="V70" s="225">
        <v>58</v>
      </c>
      <c r="W70" s="249">
        <f t="shared" si="3"/>
        <v>0</v>
      </c>
      <c r="X70" s="143">
        <f t="shared" si="5"/>
        <v>0</v>
      </c>
      <c r="Y70" s="143">
        <f>IF(OR(K70&gt;Cuts!$B$16, L70&gt;Cuts!B$16), 1,0)</f>
        <v>0</v>
      </c>
      <c r="Z70" s="246">
        <f>IF(OR(C70&gt;Cuts!$C$16, D70&gt;Cuts!$C$16),1,0)</f>
        <v>0</v>
      </c>
      <c r="AA70" s="306">
        <f t="shared" si="6"/>
        <v>0</v>
      </c>
      <c r="AB70" s="793"/>
      <c r="AC70" s="52"/>
      <c r="AD70" s="52"/>
      <c r="AE70" s="57"/>
      <c r="AF70" s="57"/>
      <c r="AG70" s="57"/>
      <c r="AH70" s="57"/>
    </row>
    <row r="71" spans="1:34">
      <c r="A71" s="78">
        <v>59</v>
      </c>
      <c r="B71" s="67"/>
      <c r="C71" s="68">
        <v>204</v>
      </c>
      <c r="D71" s="69">
        <v>204</v>
      </c>
      <c r="E71" s="70">
        <v>0.52</v>
      </c>
      <c r="F71" s="70">
        <v>0.52</v>
      </c>
      <c r="G71" s="70">
        <v>0.52</v>
      </c>
      <c r="H71" s="70">
        <v>0.52</v>
      </c>
      <c r="I71" s="70">
        <v>0.52</v>
      </c>
      <c r="J71" s="70"/>
      <c r="K71" s="72">
        <v>26.39</v>
      </c>
      <c r="L71" s="73">
        <v>26.17</v>
      </c>
      <c r="M71" s="79"/>
      <c r="N71" s="80"/>
      <c r="O71" s="80"/>
      <c r="P71" s="75"/>
      <c r="Q71" s="77"/>
      <c r="R71" s="63">
        <v>37.6</v>
      </c>
      <c r="S71" s="64">
        <f t="shared" si="4"/>
        <v>13.487422834723398</v>
      </c>
      <c r="T71" s="143">
        <v>3</v>
      </c>
      <c r="U71" s="143"/>
      <c r="V71" s="225">
        <v>59</v>
      </c>
      <c r="W71" s="249">
        <f t="shared" si="3"/>
        <v>0</v>
      </c>
      <c r="X71" s="143">
        <f t="shared" si="5"/>
        <v>0</v>
      </c>
      <c r="Y71" s="143">
        <f>IF(OR(K71&gt;Cuts!$B$16, L71&gt;Cuts!B$16), 1,0)</f>
        <v>0</v>
      </c>
      <c r="Z71" s="246">
        <f>IF(OR(C71&gt;Cuts!$C$16, D71&gt;Cuts!$C$16),1,0)</f>
        <v>0</v>
      </c>
      <c r="AA71" s="306">
        <f t="shared" si="6"/>
        <v>0</v>
      </c>
      <c r="AB71" s="793"/>
      <c r="AC71" s="52"/>
      <c r="AD71" s="52"/>
      <c r="AE71" s="57"/>
      <c r="AF71" s="57"/>
      <c r="AG71" s="57"/>
      <c r="AH71" s="57"/>
    </row>
    <row r="72" spans="1:34">
      <c r="A72" s="78">
        <v>60</v>
      </c>
      <c r="B72" s="67"/>
      <c r="C72" s="68">
        <v>204</v>
      </c>
      <c r="D72" s="69">
        <v>204</v>
      </c>
      <c r="E72" s="70">
        <v>0.5</v>
      </c>
      <c r="F72" s="70">
        <v>0.5</v>
      </c>
      <c r="G72" s="70">
        <v>0.5</v>
      </c>
      <c r="H72" s="70">
        <v>0.5</v>
      </c>
      <c r="I72" s="70">
        <v>0.5</v>
      </c>
      <c r="J72" s="70"/>
      <c r="K72" s="72">
        <v>26.45</v>
      </c>
      <c r="L72" s="73">
        <v>26.25</v>
      </c>
      <c r="M72" s="79"/>
      <c r="N72" s="80"/>
      <c r="O72" s="80"/>
      <c r="P72" s="75"/>
      <c r="Q72" s="76" t="s">
        <v>94</v>
      </c>
      <c r="R72" s="63">
        <v>36.4</v>
      </c>
      <c r="S72" s="64">
        <f t="shared" si="4"/>
        <v>13.543178182088772</v>
      </c>
      <c r="T72" s="143">
        <v>3</v>
      </c>
      <c r="U72" s="143"/>
      <c r="V72" s="225">
        <v>60</v>
      </c>
      <c r="W72" s="249">
        <f t="shared" si="3"/>
        <v>0</v>
      </c>
      <c r="X72" s="143">
        <f t="shared" si="5"/>
        <v>0</v>
      </c>
      <c r="Y72" s="143">
        <f>IF(OR(K72&gt;Cuts!$B$16, L72&gt;Cuts!B$16), 1,0)</f>
        <v>0</v>
      </c>
      <c r="Z72" s="246">
        <f>IF(OR(C72&gt;Cuts!$C$16, D72&gt;Cuts!$C$16),1,0)</f>
        <v>0</v>
      </c>
      <c r="AA72" s="306">
        <f t="shared" si="6"/>
        <v>0</v>
      </c>
      <c r="AB72" s="793"/>
      <c r="AC72" s="52"/>
      <c r="AD72" s="52"/>
      <c r="AE72" s="57"/>
      <c r="AF72" s="57"/>
      <c r="AG72" s="57"/>
      <c r="AH72" s="57"/>
    </row>
    <row r="73" spans="1:34">
      <c r="A73" s="78">
        <v>61</v>
      </c>
      <c r="B73" s="67"/>
      <c r="C73" s="68">
        <v>204</v>
      </c>
      <c r="D73" s="69">
        <v>204</v>
      </c>
      <c r="E73" s="70">
        <v>0.51</v>
      </c>
      <c r="F73" s="70">
        <v>0.5</v>
      </c>
      <c r="G73" s="70">
        <v>0.5</v>
      </c>
      <c r="H73" s="70">
        <v>0.5</v>
      </c>
      <c r="I73" s="70">
        <v>0.5</v>
      </c>
      <c r="J73" s="70"/>
      <c r="K73" s="72">
        <v>26.25</v>
      </c>
      <c r="L73" s="73">
        <v>26.15</v>
      </c>
      <c r="M73" s="79" t="s">
        <v>89</v>
      </c>
      <c r="N73" s="80" t="s">
        <v>89</v>
      </c>
      <c r="O73" s="80"/>
      <c r="P73" s="75"/>
      <c r="Q73" s="76" t="s">
        <v>93</v>
      </c>
      <c r="R73" s="63">
        <v>36.4</v>
      </c>
      <c r="S73" s="64">
        <f t="shared" si="4"/>
        <v>13.566449663104803</v>
      </c>
      <c r="T73" s="143">
        <v>3</v>
      </c>
      <c r="U73" s="143"/>
      <c r="V73" s="225">
        <v>61</v>
      </c>
      <c r="W73" s="249">
        <f t="shared" si="3"/>
        <v>1.0000000000000009E-2</v>
      </c>
      <c r="X73" s="143">
        <f t="shared" si="5"/>
        <v>0</v>
      </c>
      <c r="Y73" s="143">
        <f>IF(OR(K73&gt;Cuts!$B$16, L73&gt;Cuts!B$16), 1,0)</f>
        <v>0</v>
      </c>
      <c r="Z73" s="246">
        <f>IF(OR(C73&gt;Cuts!$C$16, D73&gt;Cuts!$C$16),1,0)</f>
        <v>0</v>
      </c>
      <c r="AA73" s="306">
        <f t="shared" si="6"/>
        <v>0</v>
      </c>
      <c r="AB73" s="793"/>
      <c r="AC73" s="52"/>
      <c r="AD73" s="52"/>
      <c r="AE73" s="57"/>
      <c r="AF73" s="57"/>
      <c r="AG73" s="57"/>
      <c r="AH73" s="57"/>
    </row>
    <row r="74" spans="1:34">
      <c r="A74" s="78">
        <v>62</v>
      </c>
      <c r="B74" s="67"/>
      <c r="C74" s="68">
        <v>204</v>
      </c>
      <c r="D74" s="69">
        <v>204</v>
      </c>
      <c r="E74" s="70">
        <v>0.5</v>
      </c>
      <c r="F74" s="70">
        <v>0.5</v>
      </c>
      <c r="G74" s="70">
        <v>0.49</v>
      </c>
      <c r="H74" s="70">
        <v>0.49</v>
      </c>
      <c r="I74" s="70">
        <v>0.49</v>
      </c>
      <c r="J74" s="70"/>
      <c r="K74" s="72">
        <v>26.31</v>
      </c>
      <c r="L74" s="73">
        <v>26.28</v>
      </c>
      <c r="M74" s="79"/>
      <c r="N74" s="80"/>
      <c r="O74" s="80" t="s">
        <v>89</v>
      </c>
      <c r="P74" s="75" t="s">
        <v>89</v>
      </c>
      <c r="Q74" s="76" t="s">
        <v>94</v>
      </c>
      <c r="R74" s="63">
        <v>35.200000000000003</v>
      </c>
      <c r="S74" s="64">
        <f t="shared" si="4"/>
        <v>13.283495469716705</v>
      </c>
      <c r="T74" s="143">
        <v>3</v>
      </c>
      <c r="U74" s="143"/>
      <c r="V74" s="225">
        <v>62</v>
      </c>
      <c r="W74" s="249">
        <f t="shared" si="3"/>
        <v>1.0000000000000009E-2</v>
      </c>
      <c r="X74" s="143">
        <f t="shared" si="5"/>
        <v>0</v>
      </c>
      <c r="Y74" s="143">
        <f>IF(OR(K74&gt;Cuts!$B$16, L74&gt;Cuts!B$16), 1,0)</f>
        <v>0</v>
      </c>
      <c r="Z74" s="246">
        <f>IF(OR(C74&gt;Cuts!$C$16, D74&gt;Cuts!$C$16),1,0)</f>
        <v>0</v>
      </c>
      <c r="AA74" s="306">
        <f t="shared" si="6"/>
        <v>0</v>
      </c>
      <c r="AB74" s="793"/>
      <c r="AC74" s="52"/>
      <c r="AD74" s="52"/>
      <c r="AE74" s="57"/>
      <c r="AF74" s="57"/>
      <c r="AG74" s="57"/>
      <c r="AH74" s="57"/>
    </row>
    <row r="75" spans="1:34">
      <c r="A75" s="78">
        <v>63</v>
      </c>
      <c r="B75" s="67"/>
      <c r="C75" s="68">
        <v>204</v>
      </c>
      <c r="D75" s="69">
        <v>204</v>
      </c>
      <c r="E75" s="70">
        <v>0.5</v>
      </c>
      <c r="F75" s="70">
        <v>0.5</v>
      </c>
      <c r="G75" s="70">
        <v>0.5</v>
      </c>
      <c r="H75" s="70">
        <v>0.5</v>
      </c>
      <c r="I75" s="70">
        <v>0.5</v>
      </c>
      <c r="J75" s="70"/>
      <c r="K75" s="72">
        <v>26.39</v>
      </c>
      <c r="L75" s="73">
        <v>26.27</v>
      </c>
      <c r="M75" s="79" t="s">
        <v>89</v>
      </c>
      <c r="N75" s="80"/>
      <c r="O75" s="80" t="s">
        <v>89</v>
      </c>
      <c r="P75" s="75"/>
      <c r="Q75" s="77"/>
      <c r="R75" s="63">
        <v>35.700000000000003</v>
      </c>
      <c r="S75" s="64">
        <f t="shared" si="4"/>
        <v>13.29282187618686</v>
      </c>
      <c r="T75" s="143">
        <v>3</v>
      </c>
      <c r="U75" s="143"/>
      <c r="V75" s="225">
        <v>63</v>
      </c>
      <c r="W75" s="249">
        <f t="shared" si="3"/>
        <v>0</v>
      </c>
      <c r="X75" s="143">
        <f t="shared" si="5"/>
        <v>0</v>
      </c>
      <c r="Y75" s="143">
        <f>IF(OR(K75&gt;Cuts!$B$16, L75&gt;Cuts!B$16), 1,0)</f>
        <v>0</v>
      </c>
      <c r="Z75" s="246">
        <f>IF(OR(C75&gt;Cuts!$C$16, D75&gt;Cuts!$C$16),1,0)</f>
        <v>0</v>
      </c>
      <c r="AA75" s="306">
        <f t="shared" si="6"/>
        <v>0</v>
      </c>
      <c r="AB75" s="793"/>
      <c r="AC75" s="52"/>
      <c r="AD75" s="52"/>
      <c r="AE75" s="57"/>
      <c r="AF75" s="57"/>
      <c r="AG75" s="57"/>
      <c r="AH75" s="57"/>
    </row>
    <row r="76" spans="1:34">
      <c r="A76" s="78">
        <v>64</v>
      </c>
      <c r="B76" s="67"/>
      <c r="C76" s="68">
        <v>204</v>
      </c>
      <c r="D76" s="69">
        <v>204</v>
      </c>
      <c r="E76" s="70">
        <v>0.51</v>
      </c>
      <c r="F76" s="70">
        <v>0.51</v>
      </c>
      <c r="G76" s="70">
        <v>0.52</v>
      </c>
      <c r="H76" s="70">
        <v>0.52</v>
      </c>
      <c r="I76" s="70">
        <v>0.52</v>
      </c>
      <c r="J76" s="70"/>
      <c r="K76" s="72">
        <v>26.37</v>
      </c>
      <c r="L76" s="73">
        <v>26.21</v>
      </c>
      <c r="M76" s="79"/>
      <c r="N76" s="80" t="s">
        <v>89</v>
      </c>
      <c r="O76" s="80"/>
      <c r="P76" s="75"/>
      <c r="Q76" s="76"/>
      <c r="R76" s="63">
        <v>37.200000000000003</v>
      </c>
      <c r="S76" s="64">
        <f t="shared" ref="S76:S107" si="7">R76/(AVERAGE(C76:D76)*AVERAGE(E76:J76)*AVERAGE(K76:L76)*0.001)</f>
        <v>13.44226598792763</v>
      </c>
      <c r="T76" s="143">
        <v>3</v>
      </c>
      <c r="U76" s="143"/>
      <c r="V76" s="225">
        <v>64</v>
      </c>
      <c r="W76" s="249">
        <f t="shared" si="3"/>
        <v>1.0000000000000009E-2</v>
      </c>
      <c r="X76" s="143">
        <f t="shared" ref="X76:X107" si="8">IF(OR(ABS(E76-$C$6)&gt;($C$6*0.1),ABS(F76-$C$6)&gt;($C$6*0.1),ABS(G76-$C$6)&gt;($C$6*0.1),ABS(H76-$C$6)&gt;($C$6*0.1),ABS(I76-$C$6)&gt;($C$6*0.1)),1,0)</f>
        <v>0</v>
      </c>
      <c r="Y76" s="143">
        <f>IF(OR(K76&gt;Cuts!$B$16, L76&gt;Cuts!B$16), 1,0)</f>
        <v>0</v>
      </c>
      <c r="Z76" s="246">
        <f>IF(OR(C76&gt;Cuts!$C$16, D76&gt;Cuts!$C$16),1,0)</f>
        <v>0</v>
      </c>
      <c r="AA76" s="306">
        <f t="shared" ref="AA76:AA107" si="9">IF(OR(M76="Y",N76="Y",O76="Y",P76="Y"),1,0)</f>
        <v>0</v>
      </c>
      <c r="AB76" s="793"/>
      <c r="AC76" s="52"/>
      <c r="AD76" s="52"/>
      <c r="AE76" s="57"/>
      <c r="AF76" s="57"/>
      <c r="AG76" s="57"/>
      <c r="AH76" s="57"/>
    </row>
    <row r="77" spans="1:34">
      <c r="A77" s="78">
        <v>65</v>
      </c>
      <c r="B77" s="67"/>
      <c r="C77" s="68">
        <v>204</v>
      </c>
      <c r="D77" s="69">
        <v>204</v>
      </c>
      <c r="E77" s="70">
        <v>0.5</v>
      </c>
      <c r="F77" s="70">
        <v>0.5</v>
      </c>
      <c r="G77" s="70">
        <v>0.49</v>
      </c>
      <c r="H77" s="70">
        <v>0.49</v>
      </c>
      <c r="I77" s="70">
        <v>0.49</v>
      </c>
      <c r="J77" s="70"/>
      <c r="K77" s="72">
        <v>26.35</v>
      </c>
      <c r="L77" s="73">
        <v>26.27</v>
      </c>
      <c r="M77" s="79" t="s">
        <v>89</v>
      </c>
      <c r="N77" s="80"/>
      <c r="O77" s="80" t="s">
        <v>89</v>
      </c>
      <c r="P77" s="75"/>
      <c r="Q77" s="76" t="s">
        <v>93</v>
      </c>
      <c r="R77" s="63">
        <v>35.5</v>
      </c>
      <c r="S77" s="64">
        <f t="shared" si="7"/>
        <v>13.389069275481933</v>
      </c>
      <c r="T77" s="143">
        <v>3</v>
      </c>
      <c r="U77" s="143"/>
      <c r="V77" s="225">
        <v>65</v>
      </c>
      <c r="W77" s="249">
        <f t="shared" si="3"/>
        <v>1.0000000000000009E-2</v>
      </c>
      <c r="X77" s="143">
        <f t="shared" si="8"/>
        <v>0</v>
      </c>
      <c r="Y77" s="143">
        <f>IF(OR(K77&gt;Cuts!$B$16, L77&gt;Cuts!B$16), 1,0)</f>
        <v>0</v>
      </c>
      <c r="Z77" s="246">
        <f>IF(OR(C77&gt;Cuts!$C$16, D77&gt;Cuts!$C$16),1,0)</f>
        <v>0</v>
      </c>
      <c r="AA77" s="306">
        <f t="shared" si="9"/>
        <v>0</v>
      </c>
      <c r="AB77" s="793"/>
      <c r="AC77" s="52"/>
      <c r="AD77" s="52"/>
      <c r="AE77" s="57"/>
      <c r="AF77" s="57"/>
      <c r="AG77" s="57"/>
      <c r="AH77" s="57"/>
    </row>
    <row r="78" spans="1:34">
      <c r="A78" s="78">
        <v>66</v>
      </c>
      <c r="B78" s="67"/>
      <c r="C78" s="68">
        <v>204</v>
      </c>
      <c r="D78" s="69">
        <v>204</v>
      </c>
      <c r="E78" s="70">
        <v>0.48</v>
      </c>
      <c r="F78" s="70">
        <v>0.48</v>
      </c>
      <c r="G78" s="70">
        <v>0.49</v>
      </c>
      <c r="H78" s="70">
        <v>0.49</v>
      </c>
      <c r="I78" s="70">
        <v>0.49</v>
      </c>
      <c r="J78" s="70"/>
      <c r="K78" s="72">
        <v>26.22</v>
      </c>
      <c r="L78" s="73">
        <v>26.39</v>
      </c>
      <c r="M78" s="79" t="s">
        <v>89</v>
      </c>
      <c r="N78" s="80" t="s">
        <v>88</v>
      </c>
      <c r="O78" s="80" t="s">
        <v>89</v>
      </c>
      <c r="P78" s="75"/>
      <c r="Q78" s="76" t="s">
        <v>93</v>
      </c>
      <c r="R78" s="63">
        <v>34.799999999999997</v>
      </c>
      <c r="S78" s="64">
        <f t="shared" si="7"/>
        <v>13.343645670808304</v>
      </c>
      <c r="T78" s="143">
        <v>3</v>
      </c>
      <c r="U78" s="143"/>
      <c r="V78" s="225">
        <v>66</v>
      </c>
      <c r="W78" s="249">
        <f t="shared" ref="W78:W141" si="10">MAX(E78:I78)-MIN(E78:I78)</f>
        <v>1.0000000000000009E-2</v>
      </c>
      <c r="X78" s="143">
        <f t="shared" si="8"/>
        <v>0</v>
      </c>
      <c r="Y78" s="143">
        <f>IF(OR(K78&gt;Cuts!$B$16, L78&gt;Cuts!B$16), 1,0)</f>
        <v>0</v>
      </c>
      <c r="Z78" s="246">
        <f>IF(OR(C78&gt;Cuts!$C$16, D78&gt;Cuts!$C$16),1,0)</f>
        <v>0</v>
      </c>
      <c r="AA78" s="306">
        <f t="shared" si="9"/>
        <v>1</v>
      </c>
      <c r="AB78" s="793"/>
      <c r="AC78" s="52"/>
      <c r="AD78" s="52"/>
      <c r="AE78" s="57"/>
      <c r="AF78" s="57"/>
      <c r="AG78" s="57"/>
      <c r="AH78" s="57"/>
    </row>
    <row r="79" spans="1:34">
      <c r="A79" s="78">
        <v>67</v>
      </c>
      <c r="B79" s="67"/>
      <c r="C79" s="68">
        <v>204</v>
      </c>
      <c r="D79" s="69">
        <v>204</v>
      </c>
      <c r="E79" s="70">
        <v>0.51</v>
      </c>
      <c r="F79" s="70">
        <v>0.5</v>
      </c>
      <c r="G79" s="70">
        <v>0.5</v>
      </c>
      <c r="H79" s="70">
        <v>0.5</v>
      </c>
      <c r="I79" s="70">
        <v>0.5</v>
      </c>
      <c r="J79" s="70"/>
      <c r="K79" s="72">
        <v>26.28</v>
      </c>
      <c r="L79" s="73">
        <v>26.26</v>
      </c>
      <c r="M79" s="79"/>
      <c r="N79" s="80"/>
      <c r="O79" s="80" t="s">
        <v>89</v>
      </c>
      <c r="P79" s="75" t="s">
        <v>89</v>
      </c>
      <c r="Q79" s="76" t="s">
        <v>93</v>
      </c>
      <c r="R79" s="63">
        <v>36</v>
      </c>
      <c r="S79" s="64">
        <f t="shared" si="7"/>
        <v>13.381615391141494</v>
      </c>
      <c r="T79" s="143">
        <v>3</v>
      </c>
      <c r="U79" s="143"/>
      <c r="V79" s="225">
        <v>67</v>
      </c>
      <c r="W79" s="249">
        <f t="shared" si="10"/>
        <v>1.0000000000000009E-2</v>
      </c>
      <c r="X79" s="143">
        <f t="shared" si="8"/>
        <v>0</v>
      </c>
      <c r="Y79" s="143">
        <f>IF(OR(K79&gt;Cuts!$B$16, L79&gt;Cuts!B$16), 1,0)</f>
        <v>0</v>
      </c>
      <c r="Z79" s="246">
        <f>IF(OR(C79&gt;Cuts!$C$16, D79&gt;Cuts!$C$16),1,0)</f>
        <v>0</v>
      </c>
      <c r="AA79" s="306">
        <f t="shared" si="9"/>
        <v>0</v>
      </c>
      <c r="AB79" s="793"/>
      <c r="AC79" s="52"/>
      <c r="AD79" s="52"/>
      <c r="AE79" s="57"/>
      <c r="AF79" s="57"/>
      <c r="AG79" s="57"/>
      <c r="AH79" s="57"/>
    </row>
    <row r="80" spans="1:34">
      <c r="A80" s="78">
        <v>68</v>
      </c>
      <c r="B80" s="67"/>
      <c r="C80" s="68">
        <v>204</v>
      </c>
      <c r="D80" s="69">
        <v>204</v>
      </c>
      <c r="E80" s="70">
        <v>0.5</v>
      </c>
      <c r="F80" s="70">
        <v>0.5</v>
      </c>
      <c r="G80" s="70">
        <v>0.5</v>
      </c>
      <c r="H80" s="70">
        <v>0.5</v>
      </c>
      <c r="I80" s="70">
        <v>0.5</v>
      </c>
      <c r="J80" s="70"/>
      <c r="K80" s="72">
        <v>26.12</v>
      </c>
      <c r="L80" s="73">
        <v>26.11</v>
      </c>
      <c r="M80" s="79"/>
      <c r="N80" s="80"/>
      <c r="O80" s="80"/>
      <c r="P80" s="75"/>
      <c r="Q80" s="76"/>
      <c r="R80" s="63">
        <v>36.200000000000003</v>
      </c>
      <c r="S80" s="64">
        <f t="shared" si="7"/>
        <v>13.589965950002441</v>
      </c>
      <c r="T80" s="143">
        <v>3</v>
      </c>
      <c r="U80" s="143"/>
      <c r="V80" s="225">
        <v>68</v>
      </c>
      <c r="W80" s="249">
        <f t="shared" si="10"/>
        <v>0</v>
      </c>
      <c r="X80" s="143">
        <f t="shared" si="8"/>
        <v>0</v>
      </c>
      <c r="Y80" s="143">
        <f>IF(OR(K80&gt;Cuts!$B$16, L80&gt;Cuts!B$16), 1,0)</f>
        <v>0</v>
      </c>
      <c r="Z80" s="246">
        <f>IF(OR(C80&gt;Cuts!$C$16, D80&gt;Cuts!$C$16),1,0)</f>
        <v>0</v>
      </c>
      <c r="AA80" s="306">
        <f t="shared" si="9"/>
        <v>0</v>
      </c>
      <c r="AB80" s="793"/>
      <c r="AC80" s="52"/>
      <c r="AD80" s="52"/>
      <c r="AE80" s="57"/>
      <c r="AF80" s="57"/>
      <c r="AG80" s="57"/>
      <c r="AH80" s="57"/>
    </row>
    <row r="81" spans="1:34">
      <c r="A81" s="78">
        <v>69</v>
      </c>
      <c r="B81" s="67"/>
      <c r="C81" s="68">
        <v>204</v>
      </c>
      <c r="D81" s="69">
        <v>204</v>
      </c>
      <c r="E81" s="70">
        <v>0.5</v>
      </c>
      <c r="F81" s="70">
        <v>0.5</v>
      </c>
      <c r="G81" s="70">
        <v>0.5</v>
      </c>
      <c r="H81" s="70">
        <v>0.51</v>
      </c>
      <c r="I81" s="70">
        <v>0.5</v>
      </c>
      <c r="J81" s="70"/>
      <c r="K81" s="72">
        <v>26.1</v>
      </c>
      <c r="L81" s="73">
        <v>26.18</v>
      </c>
      <c r="M81" s="79"/>
      <c r="N81" s="80"/>
      <c r="O81" s="80"/>
      <c r="P81" s="75"/>
      <c r="Q81" s="76" t="s">
        <v>96</v>
      </c>
      <c r="R81" s="63">
        <v>36.1</v>
      </c>
      <c r="S81" s="64">
        <f t="shared" si="7"/>
        <v>13.485521137616745</v>
      </c>
      <c r="T81" s="143">
        <v>3</v>
      </c>
      <c r="U81" s="143"/>
      <c r="V81" s="225">
        <v>69</v>
      </c>
      <c r="W81" s="249">
        <f t="shared" si="10"/>
        <v>1.0000000000000009E-2</v>
      </c>
      <c r="X81" s="143">
        <f t="shared" si="8"/>
        <v>0</v>
      </c>
      <c r="Y81" s="143">
        <f>IF(OR(K81&gt;Cuts!$B$16, L81&gt;Cuts!B$16), 1,0)</f>
        <v>0</v>
      </c>
      <c r="Z81" s="246">
        <f>IF(OR(C81&gt;Cuts!$C$16, D81&gt;Cuts!$C$16),1,0)</f>
        <v>0</v>
      </c>
      <c r="AA81" s="306">
        <f t="shared" si="9"/>
        <v>0</v>
      </c>
      <c r="AB81" s="793"/>
      <c r="AC81" s="52"/>
      <c r="AD81" s="52"/>
      <c r="AE81" s="57"/>
      <c r="AF81" s="57"/>
      <c r="AG81" s="57"/>
      <c r="AH81" s="57"/>
    </row>
    <row r="82" spans="1:34">
      <c r="A82" s="78">
        <v>70</v>
      </c>
      <c r="B82" s="67"/>
      <c r="C82" s="68">
        <v>204</v>
      </c>
      <c r="D82" s="69">
        <v>204</v>
      </c>
      <c r="E82" s="70">
        <v>0.51</v>
      </c>
      <c r="F82" s="70">
        <v>0.51</v>
      </c>
      <c r="G82" s="70">
        <v>0.51</v>
      </c>
      <c r="H82" s="70">
        <v>0.51</v>
      </c>
      <c r="I82" s="70">
        <v>0.51</v>
      </c>
      <c r="J82" s="70"/>
      <c r="K82" s="72">
        <v>26.06</v>
      </c>
      <c r="L82" s="73">
        <v>26.21</v>
      </c>
      <c r="M82" s="79"/>
      <c r="N82" s="80" t="s">
        <v>89</v>
      </c>
      <c r="O82" s="80"/>
      <c r="P82" s="75"/>
      <c r="Q82" s="76" t="s">
        <v>94</v>
      </c>
      <c r="R82" s="63">
        <v>36.299999999999997</v>
      </c>
      <c r="S82" s="64">
        <f t="shared" si="7"/>
        <v>13.350077198752198</v>
      </c>
      <c r="T82" s="143">
        <v>3</v>
      </c>
      <c r="U82" s="143"/>
      <c r="V82" s="225">
        <v>70</v>
      </c>
      <c r="W82" s="249">
        <f t="shared" si="10"/>
        <v>0</v>
      </c>
      <c r="X82" s="143">
        <f t="shared" si="8"/>
        <v>0</v>
      </c>
      <c r="Y82" s="143">
        <f>IF(OR(K82&gt;Cuts!$B$16, L82&gt;Cuts!B$16), 1,0)</f>
        <v>0</v>
      </c>
      <c r="Z82" s="246">
        <f>IF(OR(C82&gt;Cuts!$C$16, D82&gt;Cuts!$C$16),1,0)</f>
        <v>0</v>
      </c>
      <c r="AA82" s="306">
        <f t="shared" si="9"/>
        <v>0</v>
      </c>
      <c r="AB82" s="793"/>
      <c r="AC82" s="52"/>
      <c r="AD82" s="52"/>
      <c r="AE82" s="57"/>
      <c r="AF82" s="57"/>
      <c r="AG82" s="57"/>
      <c r="AH82" s="57"/>
    </row>
    <row r="83" spans="1:34">
      <c r="A83" s="78">
        <v>71</v>
      </c>
      <c r="B83" s="67"/>
      <c r="C83" s="68">
        <v>204</v>
      </c>
      <c r="D83" s="69">
        <v>204</v>
      </c>
      <c r="E83" s="70">
        <v>0.5</v>
      </c>
      <c r="F83" s="70">
        <v>0.5</v>
      </c>
      <c r="G83" s="70">
        <v>0.5</v>
      </c>
      <c r="H83" s="70">
        <v>0.5</v>
      </c>
      <c r="I83" s="70">
        <v>0.5</v>
      </c>
      <c r="J83" s="70"/>
      <c r="K83" s="72">
        <v>26.44</v>
      </c>
      <c r="L83" s="73">
        <v>26.22</v>
      </c>
      <c r="M83" s="79" t="s">
        <v>89</v>
      </c>
      <c r="N83" s="80"/>
      <c r="O83" s="80"/>
      <c r="P83" s="75" t="s">
        <v>89</v>
      </c>
      <c r="Q83" s="76" t="s">
        <v>93</v>
      </c>
      <c r="R83" s="63">
        <v>36</v>
      </c>
      <c r="S83" s="64">
        <f t="shared" si="7"/>
        <v>13.404526261701035</v>
      </c>
      <c r="T83" s="143">
        <v>3</v>
      </c>
      <c r="U83" s="143"/>
      <c r="V83" s="225">
        <v>71</v>
      </c>
      <c r="W83" s="249">
        <f t="shared" si="10"/>
        <v>0</v>
      </c>
      <c r="X83" s="143">
        <f t="shared" si="8"/>
        <v>0</v>
      </c>
      <c r="Y83" s="143">
        <f>IF(OR(K83&gt;Cuts!$B$16, L83&gt;Cuts!B$16), 1,0)</f>
        <v>0</v>
      </c>
      <c r="Z83" s="246">
        <f>IF(OR(C83&gt;Cuts!$C$16, D83&gt;Cuts!$C$16),1,0)</f>
        <v>0</v>
      </c>
      <c r="AA83" s="306">
        <f t="shared" si="9"/>
        <v>0</v>
      </c>
      <c r="AB83" s="793"/>
      <c r="AC83" s="52"/>
      <c r="AD83" s="52"/>
      <c r="AE83" s="57"/>
      <c r="AF83" s="57"/>
      <c r="AG83" s="57"/>
      <c r="AH83" s="57"/>
    </row>
    <row r="84" spans="1:34">
      <c r="A84" s="78">
        <v>72</v>
      </c>
      <c r="B84" s="67"/>
      <c r="C84" s="68">
        <v>204</v>
      </c>
      <c r="D84" s="69">
        <v>204</v>
      </c>
      <c r="E84" s="70">
        <v>0.5</v>
      </c>
      <c r="F84" s="70">
        <v>0.51</v>
      </c>
      <c r="G84" s="70">
        <v>0.51</v>
      </c>
      <c r="H84" s="70">
        <v>0.51</v>
      </c>
      <c r="I84" s="70">
        <v>0.51</v>
      </c>
      <c r="J84" s="70"/>
      <c r="K84" s="72">
        <v>26.35</v>
      </c>
      <c r="L84" s="73">
        <v>26.22</v>
      </c>
      <c r="M84" s="79" t="s">
        <v>89</v>
      </c>
      <c r="N84" s="80"/>
      <c r="O84" s="80" t="s">
        <v>89</v>
      </c>
      <c r="P84" s="75"/>
      <c r="Q84" s="77"/>
      <c r="R84" s="63">
        <v>36.200000000000003</v>
      </c>
      <c r="S84" s="64">
        <f t="shared" si="7"/>
        <v>13.289440879888447</v>
      </c>
      <c r="T84" s="143">
        <v>3</v>
      </c>
      <c r="U84" s="143"/>
      <c r="V84" s="225">
        <v>72</v>
      </c>
      <c r="W84" s="249">
        <f t="shared" si="10"/>
        <v>1.0000000000000009E-2</v>
      </c>
      <c r="X84" s="143">
        <f t="shared" si="8"/>
        <v>0</v>
      </c>
      <c r="Y84" s="143">
        <f>IF(OR(K84&gt;Cuts!$B$16, L84&gt;Cuts!B$16), 1,0)</f>
        <v>0</v>
      </c>
      <c r="Z84" s="246">
        <f>IF(OR(C84&gt;Cuts!$C$16, D84&gt;Cuts!$C$16),1,0)</f>
        <v>0</v>
      </c>
      <c r="AA84" s="306">
        <f t="shared" si="9"/>
        <v>0</v>
      </c>
      <c r="AB84" s="793"/>
      <c r="AC84" s="52"/>
      <c r="AD84" s="52"/>
      <c r="AE84" s="57"/>
      <c r="AF84" s="57"/>
      <c r="AG84" s="57"/>
      <c r="AH84" s="57"/>
    </row>
    <row r="85" spans="1:34">
      <c r="A85" s="78">
        <v>73</v>
      </c>
      <c r="B85" s="67"/>
      <c r="C85" s="68">
        <v>204</v>
      </c>
      <c r="D85" s="69">
        <v>204</v>
      </c>
      <c r="E85" s="70">
        <v>0.5</v>
      </c>
      <c r="F85" s="70">
        <v>0.5</v>
      </c>
      <c r="G85" s="70">
        <v>0.5</v>
      </c>
      <c r="H85" s="70">
        <v>0.5</v>
      </c>
      <c r="I85" s="70">
        <v>0.51</v>
      </c>
      <c r="J85" s="70"/>
      <c r="K85" s="72">
        <v>26.11</v>
      </c>
      <c r="L85" s="73">
        <v>26.42</v>
      </c>
      <c r="M85" s="79" t="s">
        <v>89</v>
      </c>
      <c r="N85" s="80"/>
      <c r="O85" s="80"/>
      <c r="P85" s="75"/>
      <c r="Q85" s="76" t="s">
        <v>93</v>
      </c>
      <c r="R85" s="63">
        <v>36.6</v>
      </c>
      <c r="S85" s="64">
        <f t="shared" si="7"/>
        <v>13.607232194836291</v>
      </c>
      <c r="T85" s="143">
        <v>3</v>
      </c>
      <c r="U85" s="143"/>
      <c r="V85" s="225">
        <v>73</v>
      </c>
      <c r="W85" s="249">
        <f t="shared" si="10"/>
        <v>1.0000000000000009E-2</v>
      </c>
      <c r="X85" s="143">
        <f t="shared" si="8"/>
        <v>0</v>
      </c>
      <c r="Y85" s="143">
        <f>IF(OR(K85&gt;Cuts!$B$16, L85&gt;Cuts!B$16), 1,0)</f>
        <v>0</v>
      </c>
      <c r="Z85" s="246">
        <f>IF(OR(C85&gt;Cuts!$C$16, D85&gt;Cuts!$C$16),1,0)</f>
        <v>0</v>
      </c>
      <c r="AA85" s="306">
        <f t="shared" si="9"/>
        <v>0</v>
      </c>
      <c r="AB85" s="793"/>
      <c r="AC85" s="52"/>
      <c r="AD85" s="52"/>
      <c r="AE85" s="57"/>
      <c r="AF85" s="57"/>
      <c r="AG85" s="57"/>
      <c r="AH85" s="57"/>
    </row>
    <row r="86" spans="1:34">
      <c r="A86" s="78">
        <v>74</v>
      </c>
      <c r="B86" s="67"/>
      <c r="C86" s="68">
        <v>204</v>
      </c>
      <c r="D86" s="69">
        <v>204</v>
      </c>
      <c r="E86" s="70">
        <v>0.49</v>
      </c>
      <c r="F86" s="70">
        <v>0.49</v>
      </c>
      <c r="G86" s="70">
        <v>0.49</v>
      </c>
      <c r="H86" s="70">
        <v>0.49</v>
      </c>
      <c r="I86" s="70">
        <v>0.49</v>
      </c>
      <c r="J86" s="70"/>
      <c r="K86" s="72">
        <v>26.13</v>
      </c>
      <c r="L86" s="73">
        <v>26.18</v>
      </c>
      <c r="M86" s="79"/>
      <c r="N86" s="80"/>
      <c r="O86" s="80" t="s">
        <v>89</v>
      </c>
      <c r="P86" s="75"/>
      <c r="Q86" s="77" t="s">
        <v>96</v>
      </c>
      <c r="R86" s="63">
        <v>35.4</v>
      </c>
      <c r="S86" s="64">
        <f t="shared" si="7"/>
        <v>13.540113043879375</v>
      </c>
      <c r="T86" s="143">
        <v>3</v>
      </c>
      <c r="U86" s="143"/>
      <c r="V86" s="225">
        <v>74</v>
      </c>
      <c r="W86" s="249">
        <f t="shared" si="10"/>
        <v>0</v>
      </c>
      <c r="X86" s="143">
        <f t="shared" si="8"/>
        <v>0</v>
      </c>
      <c r="Y86" s="143">
        <f>IF(OR(K86&gt;Cuts!$B$16, L86&gt;Cuts!B$16), 1,0)</f>
        <v>0</v>
      </c>
      <c r="Z86" s="246">
        <f>IF(OR(C86&gt;Cuts!$C$16, D86&gt;Cuts!$C$16),1,0)</f>
        <v>0</v>
      </c>
      <c r="AA86" s="306">
        <f t="shared" si="9"/>
        <v>0</v>
      </c>
      <c r="AB86" s="793"/>
      <c r="AC86" s="52"/>
      <c r="AD86" s="52"/>
      <c r="AE86" s="57"/>
      <c r="AF86" s="57"/>
      <c r="AG86" s="57"/>
      <c r="AH86" s="57"/>
    </row>
    <row r="87" spans="1:34">
      <c r="A87" s="78">
        <v>75</v>
      </c>
      <c r="B87" s="67"/>
      <c r="C87" s="68">
        <v>204</v>
      </c>
      <c r="D87" s="69">
        <v>204</v>
      </c>
      <c r="E87" s="70">
        <v>0.49</v>
      </c>
      <c r="F87" s="70">
        <v>0.49</v>
      </c>
      <c r="G87" s="70">
        <v>0.49</v>
      </c>
      <c r="H87" s="70">
        <v>0.49</v>
      </c>
      <c r="I87" s="70">
        <v>0.5</v>
      </c>
      <c r="J87" s="70"/>
      <c r="K87" s="72">
        <v>26.13</v>
      </c>
      <c r="L87" s="73">
        <v>26.26</v>
      </c>
      <c r="M87" s="79"/>
      <c r="N87" s="80" t="s">
        <v>89</v>
      </c>
      <c r="O87" s="80"/>
      <c r="P87" s="75"/>
      <c r="Q87" s="76" t="s">
        <v>93</v>
      </c>
      <c r="R87" s="63">
        <v>35.200000000000003</v>
      </c>
      <c r="S87" s="64">
        <f t="shared" si="7"/>
        <v>13.388409599039345</v>
      </c>
      <c r="T87" s="143">
        <v>3</v>
      </c>
      <c r="U87" s="143"/>
      <c r="V87" s="225">
        <v>75</v>
      </c>
      <c r="W87" s="249">
        <f t="shared" si="10"/>
        <v>1.0000000000000009E-2</v>
      </c>
      <c r="X87" s="143">
        <f t="shared" si="8"/>
        <v>0</v>
      </c>
      <c r="Y87" s="143">
        <f>IF(OR(K87&gt;Cuts!$B$16, L87&gt;Cuts!B$16), 1,0)</f>
        <v>0</v>
      </c>
      <c r="Z87" s="246">
        <f>IF(OR(C87&gt;Cuts!$C$16, D87&gt;Cuts!$C$16),1,0)</f>
        <v>0</v>
      </c>
      <c r="AA87" s="306">
        <f t="shared" si="9"/>
        <v>0</v>
      </c>
      <c r="AB87" s="793"/>
      <c r="AC87" s="52"/>
      <c r="AD87" s="52"/>
      <c r="AE87" s="57"/>
      <c r="AF87" s="57"/>
      <c r="AG87" s="57"/>
      <c r="AH87" s="57"/>
    </row>
    <row r="88" spans="1:34">
      <c r="A88" s="171">
        <v>76</v>
      </c>
      <c r="B88" s="67"/>
      <c r="C88" s="68">
        <v>204</v>
      </c>
      <c r="D88" s="69">
        <v>204</v>
      </c>
      <c r="E88" s="786">
        <v>0.5</v>
      </c>
      <c r="F88" s="786">
        <v>0.5</v>
      </c>
      <c r="G88" s="786">
        <v>0.49</v>
      </c>
      <c r="H88" s="786">
        <v>0.5</v>
      </c>
      <c r="I88" s="786">
        <v>0.48</v>
      </c>
      <c r="J88" s="18"/>
      <c r="K88" s="72">
        <v>26.1</v>
      </c>
      <c r="L88" s="73">
        <v>26.23</v>
      </c>
      <c r="M88" s="79"/>
      <c r="N88" s="80"/>
      <c r="O88" s="80"/>
      <c r="P88" s="75" t="s">
        <v>89</v>
      </c>
      <c r="Q88" s="76" t="s">
        <v>94</v>
      </c>
      <c r="R88" s="63">
        <v>35.700000000000003</v>
      </c>
      <c r="S88" s="64">
        <f t="shared" si="7"/>
        <v>13.539117605417507</v>
      </c>
      <c r="T88" s="143">
        <v>3</v>
      </c>
      <c r="U88" s="143"/>
      <c r="V88" s="265">
        <v>76</v>
      </c>
      <c r="W88" s="249">
        <f t="shared" si="10"/>
        <v>2.0000000000000018E-2</v>
      </c>
      <c r="X88" s="143">
        <f t="shared" si="8"/>
        <v>0</v>
      </c>
      <c r="Y88" s="143">
        <f>IF(OR(K88&gt;Cuts!$B$16, L88&gt;Cuts!B$16), 1,0)</f>
        <v>0</v>
      </c>
      <c r="Z88" s="246">
        <f>IF(OR(C88&gt;Cuts!$C$16, D88&gt;Cuts!$C$16),1,0)</f>
        <v>0</v>
      </c>
      <c r="AA88" s="306">
        <f t="shared" si="9"/>
        <v>0</v>
      </c>
      <c r="AB88" s="792" t="s">
        <v>631</v>
      </c>
      <c r="AC88" s="52">
        <v>0.5</v>
      </c>
      <c r="AD88" s="52">
        <v>0.49</v>
      </c>
      <c r="AE88" s="52">
        <v>0.49</v>
      </c>
      <c r="AF88" s="52">
        <v>0.49</v>
      </c>
      <c r="AG88" s="52">
        <v>0.49</v>
      </c>
      <c r="AH88" s="52">
        <v>0.47</v>
      </c>
    </row>
    <row r="89" spans="1:34">
      <c r="A89" s="78">
        <v>77</v>
      </c>
      <c r="B89" s="67"/>
      <c r="C89" s="68">
        <v>204</v>
      </c>
      <c r="D89" s="69">
        <v>204</v>
      </c>
      <c r="E89" s="70">
        <v>0.5</v>
      </c>
      <c r="F89" s="70">
        <v>0.5</v>
      </c>
      <c r="G89" s="70">
        <v>0.5</v>
      </c>
      <c r="H89" s="70">
        <v>0.5</v>
      </c>
      <c r="I89" s="70">
        <v>0.5</v>
      </c>
      <c r="J89" s="70"/>
      <c r="K89" s="72">
        <v>26.4</v>
      </c>
      <c r="L89" s="73">
        <v>26.26</v>
      </c>
      <c r="M89" s="79"/>
      <c r="N89" s="80"/>
      <c r="O89" s="80" t="s">
        <v>89</v>
      </c>
      <c r="P89" s="75"/>
      <c r="Q89" s="76" t="s">
        <v>93</v>
      </c>
      <c r="R89" s="63">
        <v>36</v>
      </c>
      <c r="S89" s="64">
        <f t="shared" si="7"/>
        <v>13.404526261701035</v>
      </c>
      <c r="T89" s="143">
        <v>3</v>
      </c>
      <c r="U89" s="143"/>
      <c r="V89" s="225">
        <v>77</v>
      </c>
      <c r="W89" s="249">
        <f t="shared" si="10"/>
        <v>0</v>
      </c>
      <c r="X89" s="143">
        <f t="shared" si="8"/>
        <v>0</v>
      </c>
      <c r="Y89" s="143">
        <f>IF(OR(K89&gt;Cuts!$B$16, L89&gt;Cuts!B$16), 1,0)</f>
        <v>0</v>
      </c>
      <c r="Z89" s="246">
        <f>IF(OR(C89&gt;Cuts!$C$16, D89&gt;Cuts!$C$16),1,0)</f>
        <v>0</v>
      </c>
      <c r="AA89" s="306">
        <f t="shared" si="9"/>
        <v>0</v>
      </c>
      <c r="AB89" s="793"/>
      <c r="AC89" s="52"/>
      <c r="AD89" s="52"/>
      <c r="AE89" s="57"/>
      <c r="AF89" s="57"/>
      <c r="AG89" s="57"/>
      <c r="AH89" s="57"/>
    </row>
    <row r="90" spans="1:34">
      <c r="A90" s="78">
        <v>78</v>
      </c>
      <c r="B90" s="67"/>
      <c r="C90" s="68">
        <v>204</v>
      </c>
      <c r="D90" s="69">
        <v>204</v>
      </c>
      <c r="E90" s="70">
        <v>0.5</v>
      </c>
      <c r="F90" s="70">
        <v>0.5</v>
      </c>
      <c r="G90" s="70">
        <v>0.5</v>
      </c>
      <c r="H90" s="70">
        <v>0.5</v>
      </c>
      <c r="I90" s="70">
        <v>0.5</v>
      </c>
      <c r="J90" s="70"/>
      <c r="K90" s="72">
        <v>26.13</v>
      </c>
      <c r="L90" s="73">
        <v>26.11</v>
      </c>
      <c r="M90" s="79"/>
      <c r="N90" s="80" t="s">
        <v>89</v>
      </c>
      <c r="O90" s="80" t="s">
        <v>89</v>
      </c>
      <c r="P90" s="75" t="s">
        <v>89</v>
      </c>
      <c r="Q90" s="76" t="s">
        <v>94</v>
      </c>
      <c r="R90" s="63">
        <v>36</v>
      </c>
      <c r="S90" s="64">
        <f t="shared" si="7"/>
        <v>13.512296189532474</v>
      </c>
      <c r="T90" s="143">
        <v>3</v>
      </c>
      <c r="U90" s="143"/>
      <c r="V90" s="225">
        <v>78</v>
      </c>
      <c r="W90" s="249">
        <f t="shared" si="10"/>
        <v>0</v>
      </c>
      <c r="X90" s="143">
        <f t="shared" si="8"/>
        <v>0</v>
      </c>
      <c r="Y90" s="143">
        <f>IF(OR(K90&gt;Cuts!$B$16, L90&gt;Cuts!B$16), 1,0)</f>
        <v>0</v>
      </c>
      <c r="Z90" s="246">
        <f>IF(OR(C90&gt;Cuts!$C$16, D90&gt;Cuts!$C$16),1,0)</f>
        <v>0</v>
      </c>
      <c r="AA90" s="306">
        <f t="shared" si="9"/>
        <v>0</v>
      </c>
      <c r="AB90" s="793"/>
      <c r="AC90" s="52"/>
      <c r="AD90" s="52"/>
      <c r="AE90" s="57"/>
      <c r="AF90" s="57"/>
      <c r="AG90" s="57"/>
      <c r="AH90" s="57"/>
    </row>
    <row r="91" spans="1:34">
      <c r="A91" s="78">
        <v>79</v>
      </c>
      <c r="B91" s="67"/>
      <c r="C91" s="68">
        <v>204</v>
      </c>
      <c r="D91" s="69">
        <v>204</v>
      </c>
      <c r="E91" s="70">
        <v>0.48</v>
      </c>
      <c r="F91" s="70">
        <v>0.48</v>
      </c>
      <c r="G91" s="70">
        <v>0.48</v>
      </c>
      <c r="H91" s="70">
        <v>0.47</v>
      </c>
      <c r="I91" s="70">
        <v>0.47</v>
      </c>
      <c r="J91" s="70"/>
      <c r="K91" s="72">
        <v>26.26</v>
      </c>
      <c r="L91" s="73">
        <v>26.3</v>
      </c>
      <c r="M91" s="79"/>
      <c r="N91" s="80"/>
      <c r="O91" s="80" t="s">
        <v>89</v>
      </c>
      <c r="P91" s="75"/>
      <c r="Q91" s="77"/>
      <c r="R91" s="63">
        <v>34.6</v>
      </c>
      <c r="S91" s="64">
        <f t="shared" si="7"/>
        <v>13.558561574867209</v>
      </c>
      <c r="T91" s="143">
        <v>3</v>
      </c>
      <c r="U91" s="143"/>
      <c r="V91" s="225">
        <v>79</v>
      </c>
      <c r="W91" s="249">
        <f t="shared" si="10"/>
        <v>1.0000000000000009E-2</v>
      </c>
      <c r="X91" s="143">
        <f t="shared" si="8"/>
        <v>0</v>
      </c>
      <c r="Y91" s="143">
        <f>IF(OR(K91&gt;Cuts!$B$16, L91&gt;Cuts!B$16), 1,0)</f>
        <v>0</v>
      </c>
      <c r="Z91" s="246">
        <f>IF(OR(C91&gt;Cuts!$C$16, D91&gt;Cuts!$C$16),1,0)</f>
        <v>0</v>
      </c>
      <c r="AA91" s="306">
        <f t="shared" si="9"/>
        <v>0</v>
      </c>
      <c r="AB91" s="793"/>
      <c r="AC91" s="52"/>
      <c r="AD91" s="52"/>
      <c r="AE91" s="57"/>
      <c r="AF91" s="57"/>
      <c r="AG91" s="57"/>
      <c r="AH91" s="57"/>
    </row>
    <row r="92" spans="1:34">
      <c r="A92" s="78">
        <v>80</v>
      </c>
      <c r="B92" s="67"/>
      <c r="C92" s="68">
        <v>204</v>
      </c>
      <c r="D92" s="69">
        <v>204</v>
      </c>
      <c r="E92" s="70">
        <v>0.5</v>
      </c>
      <c r="F92" s="70">
        <v>0.5</v>
      </c>
      <c r="G92" s="70">
        <v>0.5</v>
      </c>
      <c r="H92" s="70">
        <v>0.5</v>
      </c>
      <c r="I92" s="70">
        <v>0.49</v>
      </c>
      <c r="J92" s="70"/>
      <c r="K92" s="72">
        <v>26.36</v>
      </c>
      <c r="L92" s="73">
        <v>26.26</v>
      </c>
      <c r="M92" s="79"/>
      <c r="N92" s="80" t="s">
        <v>89</v>
      </c>
      <c r="O92" s="80"/>
      <c r="P92" s="75" t="s">
        <v>89</v>
      </c>
      <c r="Q92" s="76" t="s">
        <v>93</v>
      </c>
      <c r="R92" s="63">
        <v>35.799999999999997</v>
      </c>
      <c r="S92" s="64">
        <f t="shared" si="7"/>
        <v>13.393764802916058</v>
      </c>
      <c r="T92" s="143">
        <v>3</v>
      </c>
      <c r="U92" s="143"/>
      <c r="V92" s="225">
        <v>80</v>
      </c>
      <c r="W92" s="249">
        <f t="shared" si="10"/>
        <v>1.0000000000000009E-2</v>
      </c>
      <c r="X92" s="143">
        <f t="shared" si="8"/>
        <v>0</v>
      </c>
      <c r="Y92" s="143">
        <f>IF(OR(K92&gt;Cuts!$B$16, L92&gt;Cuts!B$16), 1,0)</f>
        <v>0</v>
      </c>
      <c r="Z92" s="246">
        <f>IF(OR(C92&gt;Cuts!$C$16, D92&gt;Cuts!$C$16),1,0)</f>
        <v>0</v>
      </c>
      <c r="AA92" s="306">
        <f t="shared" si="9"/>
        <v>0</v>
      </c>
      <c r="AB92" s="793"/>
      <c r="AC92" s="52"/>
      <c r="AD92" s="52"/>
      <c r="AE92" s="57"/>
      <c r="AF92" s="57"/>
      <c r="AG92" s="57"/>
      <c r="AH92" s="57"/>
    </row>
    <row r="93" spans="1:34">
      <c r="A93" s="78">
        <v>81</v>
      </c>
      <c r="B93" s="67"/>
      <c r="C93" s="68">
        <v>204</v>
      </c>
      <c r="D93" s="69">
        <v>204</v>
      </c>
      <c r="E93" s="70">
        <v>0.5</v>
      </c>
      <c r="F93" s="70">
        <v>0.5</v>
      </c>
      <c r="G93" s="70">
        <v>0.5</v>
      </c>
      <c r="H93" s="70">
        <v>0.49</v>
      </c>
      <c r="I93" s="70">
        <v>0.5</v>
      </c>
      <c r="J93" s="70"/>
      <c r="K93" s="72">
        <v>26.34</v>
      </c>
      <c r="L93" s="73">
        <v>26.27</v>
      </c>
      <c r="M93" s="79"/>
      <c r="N93" s="80"/>
      <c r="O93" s="80"/>
      <c r="P93" s="75"/>
      <c r="Q93" s="76" t="s">
        <v>93</v>
      </c>
      <c r="R93" s="63">
        <v>36.4</v>
      </c>
      <c r="S93" s="64">
        <f t="shared" si="7"/>
        <v>13.620829835137513</v>
      </c>
      <c r="T93" s="143">
        <v>3</v>
      </c>
      <c r="U93" s="143"/>
      <c r="V93" s="225">
        <v>81</v>
      </c>
      <c r="W93" s="249">
        <f t="shared" si="10"/>
        <v>1.0000000000000009E-2</v>
      </c>
      <c r="X93" s="143">
        <f t="shared" si="8"/>
        <v>0</v>
      </c>
      <c r="Y93" s="143">
        <f>IF(OR(K93&gt;Cuts!$B$16, L93&gt;Cuts!B$16), 1,0)</f>
        <v>0</v>
      </c>
      <c r="Z93" s="246">
        <f>IF(OR(C93&gt;Cuts!$C$16, D93&gt;Cuts!$C$16),1,0)</f>
        <v>0</v>
      </c>
      <c r="AA93" s="306">
        <f t="shared" si="9"/>
        <v>0</v>
      </c>
      <c r="AB93" s="793"/>
      <c r="AC93" s="52"/>
      <c r="AD93" s="52"/>
      <c r="AE93" s="57"/>
      <c r="AF93" s="57"/>
      <c r="AG93" s="57"/>
      <c r="AH93" s="57"/>
    </row>
    <row r="94" spans="1:34">
      <c r="A94" s="78">
        <v>82</v>
      </c>
      <c r="B94" s="67"/>
      <c r="C94" s="68">
        <v>204</v>
      </c>
      <c r="D94" s="69">
        <v>204</v>
      </c>
      <c r="E94" s="70">
        <v>0.51</v>
      </c>
      <c r="F94" s="70">
        <v>0.51</v>
      </c>
      <c r="G94" s="70">
        <v>0.5</v>
      </c>
      <c r="H94" s="70">
        <v>0.5</v>
      </c>
      <c r="I94" s="70">
        <v>0.5</v>
      </c>
      <c r="J94" s="70"/>
      <c r="K94" s="72">
        <v>26.24</v>
      </c>
      <c r="L94" s="73">
        <v>26.36</v>
      </c>
      <c r="M94" s="81"/>
      <c r="N94" s="82"/>
      <c r="O94" s="80" t="s">
        <v>89</v>
      </c>
      <c r="P94" s="75"/>
      <c r="Q94" s="83" t="s">
        <v>93</v>
      </c>
      <c r="R94" s="63">
        <v>36.1</v>
      </c>
      <c r="S94" s="64">
        <f t="shared" si="7"/>
        <v>13.350291531906386</v>
      </c>
      <c r="T94" s="143">
        <v>3</v>
      </c>
      <c r="U94" s="143"/>
      <c r="V94" s="225">
        <v>82</v>
      </c>
      <c r="W94" s="249">
        <f t="shared" si="10"/>
        <v>1.0000000000000009E-2</v>
      </c>
      <c r="X94" s="143">
        <f t="shared" si="8"/>
        <v>0</v>
      </c>
      <c r="Y94" s="143">
        <f>IF(OR(K94&gt;Cuts!$B$16, L94&gt;Cuts!B$16), 1,0)</f>
        <v>0</v>
      </c>
      <c r="Z94" s="246">
        <f>IF(OR(C94&gt;Cuts!$C$16, D94&gt;Cuts!$C$16),1,0)</f>
        <v>0</v>
      </c>
      <c r="AA94" s="306">
        <f t="shared" si="9"/>
        <v>0</v>
      </c>
      <c r="AB94" s="793"/>
      <c r="AC94" s="52"/>
      <c r="AD94" s="52"/>
      <c r="AE94" s="57"/>
      <c r="AF94" s="57"/>
      <c r="AG94" s="57"/>
      <c r="AH94" s="57"/>
    </row>
    <row r="95" spans="1:34">
      <c r="A95" s="78">
        <v>83</v>
      </c>
      <c r="B95" s="67"/>
      <c r="C95" s="68">
        <v>204</v>
      </c>
      <c r="D95" s="69">
        <v>204</v>
      </c>
      <c r="E95" s="70">
        <v>0.51</v>
      </c>
      <c r="F95" s="70">
        <v>0.51</v>
      </c>
      <c r="G95" s="70">
        <v>0.51</v>
      </c>
      <c r="H95" s="70">
        <v>0.51</v>
      </c>
      <c r="I95" s="70">
        <v>0.5</v>
      </c>
      <c r="J95" s="70"/>
      <c r="K95" s="72">
        <v>26.24</v>
      </c>
      <c r="L95" s="73">
        <v>26.44</v>
      </c>
      <c r="M95" s="81"/>
      <c r="N95" s="82"/>
      <c r="O95" s="80"/>
      <c r="P95" s="75"/>
      <c r="Q95" s="84"/>
      <c r="R95" s="63">
        <v>37.1</v>
      </c>
      <c r="S95" s="64">
        <f t="shared" si="7"/>
        <v>13.591402039504541</v>
      </c>
      <c r="T95" s="143">
        <v>3</v>
      </c>
      <c r="U95" s="143"/>
      <c r="V95" s="225">
        <v>83</v>
      </c>
      <c r="W95" s="249">
        <f t="shared" si="10"/>
        <v>1.0000000000000009E-2</v>
      </c>
      <c r="X95" s="143">
        <f t="shared" si="8"/>
        <v>0</v>
      </c>
      <c r="Y95" s="143">
        <f>IF(OR(K95&gt;Cuts!$B$16, L95&gt;Cuts!B$16), 1,0)</f>
        <v>0</v>
      </c>
      <c r="Z95" s="246">
        <f>IF(OR(C95&gt;Cuts!$C$16, D95&gt;Cuts!$C$16),1,0)</f>
        <v>0</v>
      </c>
      <c r="AA95" s="306">
        <f t="shared" si="9"/>
        <v>0</v>
      </c>
      <c r="AB95" s="793"/>
      <c r="AC95" s="52"/>
      <c r="AD95" s="52"/>
      <c r="AE95" s="57"/>
      <c r="AF95" s="57"/>
      <c r="AG95" s="57"/>
      <c r="AH95" s="57"/>
    </row>
    <row r="96" spans="1:34">
      <c r="A96" s="78">
        <v>84</v>
      </c>
      <c r="B96" s="67"/>
      <c r="C96" s="68">
        <v>204</v>
      </c>
      <c r="D96" s="69">
        <v>204</v>
      </c>
      <c r="E96" s="70">
        <v>0.49</v>
      </c>
      <c r="F96" s="70">
        <v>0.49</v>
      </c>
      <c r="G96" s="70">
        <v>0.49</v>
      </c>
      <c r="H96" s="70">
        <v>0.49</v>
      </c>
      <c r="I96" s="70">
        <v>0.49</v>
      </c>
      <c r="J96" s="70"/>
      <c r="K96" s="72">
        <v>26.07</v>
      </c>
      <c r="L96" s="73">
        <v>26.17</v>
      </c>
      <c r="M96" s="81"/>
      <c r="N96" s="82"/>
      <c r="O96" s="80"/>
      <c r="P96" s="75" t="s">
        <v>89</v>
      </c>
      <c r="Q96" s="84"/>
      <c r="R96" s="63">
        <v>35.5</v>
      </c>
      <c r="S96" s="64">
        <f t="shared" si="7"/>
        <v>13.596556539920714</v>
      </c>
      <c r="T96" s="143">
        <v>3</v>
      </c>
      <c r="U96" s="143"/>
      <c r="V96" s="225">
        <v>84</v>
      </c>
      <c r="W96" s="249">
        <f t="shared" si="10"/>
        <v>0</v>
      </c>
      <c r="X96" s="143">
        <f t="shared" si="8"/>
        <v>0</v>
      </c>
      <c r="Y96" s="143">
        <f>IF(OR(K96&gt;Cuts!$B$16, L96&gt;Cuts!B$16), 1,0)</f>
        <v>0</v>
      </c>
      <c r="Z96" s="246">
        <f>IF(OR(C96&gt;Cuts!$C$16, D96&gt;Cuts!$C$16),1,0)</f>
        <v>0</v>
      </c>
      <c r="AA96" s="306">
        <f t="shared" si="9"/>
        <v>0</v>
      </c>
      <c r="AB96" s="793"/>
      <c r="AC96" s="52"/>
      <c r="AD96" s="52"/>
      <c r="AE96" s="57"/>
      <c r="AF96" s="57"/>
      <c r="AG96" s="57"/>
      <c r="AH96" s="57"/>
    </row>
    <row r="97" spans="1:34">
      <c r="A97" s="78">
        <v>85</v>
      </c>
      <c r="B97" s="67"/>
      <c r="C97" s="68">
        <v>204</v>
      </c>
      <c r="D97" s="69">
        <v>204</v>
      </c>
      <c r="E97" s="70">
        <v>0.51</v>
      </c>
      <c r="F97" s="70">
        <v>0.51</v>
      </c>
      <c r="G97" s="70">
        <v>0.5</v>
      </c>
      <c r="H97" s="70">
        <v>0.5</v>
      </c>
      <c r="I97" s="70">
        <v>0.51</v>
      </c>
      <c r="J97" s="70"/>
      <c r="K97" s="72">
        <v>26.41</v>
      </c>
      <c r="L97" s="73">
        <v>26.21</v>
      </c>
      <c r="M97" s="81"/>
      <c r="N97" s="82"/>
      <c r="O97" s="80"/>
      <c r="P97" s="75" t="s">
        <v>89</v>
      </c>
      <c r="Q97" s="84"/>
      <c r="R97" s="63">
        <v>36.700000000000003</v>
      </c>
      <c r="S97" s="64">
        <f t="shared" si="7"/>
        <v>13.513396879732358</v>
      </c>
      <c r="T97" s="143">
        <v>3</v>
      </c>
      <c r="U97" s="143"/>
      <c r="V97" s="225">
        <v>85</v>
      </c>
      <c r="W97" s="249">
        <f t="shared" si="10"/>
        <v>1.0000000000000009E-2</v>
      </c>
      <c r="X97" s="143">
        <f t="shared" si="8"/>
        <v>0</v>
      </c>
      <c r="Y97" s="143">
        <f>IF(OR(K97&gt;Cuts!$B$16, L97&gt;Cuts!B$16), 1,0)</f>
        <v>0</v>
      </c>
      <c r="Z97" s="246">
        <f>IF(OR(C97&gt;Cuts!$C$16, D97&gt;Cuts!$C$16),1,0)</f>
        <v>0</v>
      </c>
      <c r="AA97" s="306">
        <f t="shared" si="9"/>
        <v>0</v>
      </c>
      <c r="AB97" s="793"/>
      <c r="AC97" s="52"/>
      <c r="AD97" s="52"/>
      <c r="AE97" s="57"/>
      <c r="AF97" s="57"/>
      <c r="AG97" s="57"/>
      <c r="AH97" s="57"/>
    </row>
    <row r="98" spans="1:34">
      <c r="A98" s="78">
        <v>86</v>
      </c>
      <c r="B98" s="67"/>
      <c r="C98" s="68">
        <v>204</v>
      </c>
      <c r="D98" s="69">
        <v>204</v>
      </c>
      <c r="E98" s="70">
        <v>0.49</v>
      </c>
      <c r="F98" s="70">
        <v>0.48</v>
      </c>
      <c r="G98" s="70">
        <v>0.48</v>
      </c>
      <c r="H98" s="70">
        <v>0.48</v>
      </c>
      <c r="I98" s="70">
        <v>0.48</v>
      </c>
      <c r="J98" s="70"/>
      <c r="K98" s="72">
        <v>26.16</v>
      </c>
      <c r="L98" s="73">
        <v>26.08</v>
      </c>
      <c r="M98" s="81"/>
      <c r="N98" s="82"/>
      <c r="O98" s="80" t="s">
        <v>89</v>
      </c>
      <c r="P98" s="75"/>
      <c r="Q98" s="84"/>
      <c r="R98" s="63">
        <v>35</v>
      </c>
      <c r="S98" s="64">
        <f t="shared" si="7"/>
        <v>13.627546295344533</v>
      </c>
      <c r="T98" s="143">
        <v>3</v>
      </c>
      <c r="U98" s="143"/>
      <c r="V98" s="225">
        <v>86</v>
      </c>
      <c r="W98" s="249">
        <f t="shared" si="10"/>
        <v>1.0000000000000009E-2</v>
      </c>
      <c r="X98" s="143">
        <f t="shared" si="8"/>
        <v>0</v>
      </c>
      <c r="Y98" s="143">
        <f>IF(OR(K98&gt;Cuts!$B$16, L98&gt;Cuts!B$16), 1,0)</f>
        <v>0</v>
      </c>
      <c r="Z98" s="246">
        <f>IF(OR(C98&gt;Cuts!$C$16, D98&gt;Cuts!$C$16),1,0)</f>
        <v>0</v>
      </c>
      <c r="AA98" s="306">
        <f t="shared" si="9"/>
        <v>0</v>
      </c>
      <c r="AB98" s="793"/>
      <c r="AC98" s="52"/>
      <c r="AD98" s="52"/>
      <c r="AE98" s="57"/>
      <c r="AF98" s="57"/>
      <c r="AG98" s="57"/>
      <c r="AH98" s="57"/>
    </row>
    <row r="99" spans="1:34">
      <c r="A99" s="78">
        <v>87</v>
      </c>
      <c r="B99" s="67"/>
      <c r="C99" s="68">
        <v>204</v>
      </c>
      <c r="D99" s="69">
        <v>204</v>
      </c>
      <c r="E99" s="70">
        <v>0.49</v>
      </c>
      <c r="F99" s="70">
        <v>0.49</v>
      </c>
      <c r="G99" s="70">
        <v>0.5</v>
      </c>
      <c r="H99" s="70">
        <v>0.5</v>
      </c>
      <c r="I99" s="70">
        <v>0.5</v>
      </c>
      <c r="J99" s="70"/>
      <c r="K99" s="72">
        <v>26.08</v>
      </c>
      <c r="L99" s="73">
        <v>26.21</v>
      </c>
      <c r="M99" s="81" t="s">
        <v>89</v>
      </c>
      <c r="N99" s="82"/>
      <c r="O99" s="80" t="s">
        <v>89</v>
      </c>
      <c r="P99" s="75" t="s">
        <v>89</v>
      </c>
      <c r="Q99" s="83" t="s">
        <v>93</v>
      </c>
      <c r="R99" s="63">
        <v>36.1</v>
      </c>
      <c r="S99" s="64">
        <f t="shared" si="7"/>
        <v>13.646042257642359</v>
      </c>
      <c r="T99" s="143">
        <v>3</v>
      </c>
      <c r="U99" s="143"/>
      <c r="V99" s="225">
        <v>87</v>
      </c>
      <c r="W99" s="249">
        <f t="shared" si="10"/>
        <v>1.0000000000000009E-2</v>
      </c>
      <c r="X99" s="143">
        <f t="shared" si="8"/>
        <v>0</v>
      </c>
      <c r="Y99" s="143">
        <f>IF(OR(K99&gt;Cuts!$B$16, L99&gt;Cuts!B$16), 1,0)</f>
        <v>0</v>
      </c>
      <c r="Z99" s="246">
        <f>IF(OR(C99&gt;Cuts!$C$16, D99&gt;Cuts!$C$16),1,0)</f>
        <v>0</v>
      </c>
      <c r="AA99" s="306">
        <f t="shared" si="9"/>
        <v>0</v>
      </c>
      <c r="AB99" s="793"/>
      <c r="AC99" s="52"/>
      <c r="AD99" s="52"/>
      <c r="AE99" s="57"/>
      <c r="AF99" s="57"/>
      <c r="AG99" s="57"/>
      <c r="AH99" s="57"/>
    </row>
    <row r="100" spans="1:34">
      <c r="A100" s="78">
        <v>88</v>
      </c>
      <c r="B100" s="67"/>
      <c r="C100" s="68">
        <v>204</v>
      </c>
      <c r="D100" s="69">
        <v>204</v>
      </c>
      <c r="E100" s="70">
        <v>0.49</v>
      </c>
      <c r="F100" s="70">
        <v>0.49</v>
      </c>
      <c r="G100" s="70">
        <v>0.49</v>
      </c>
      <c r="H100" s="70">
        <v>0.49</v>
      </c>
      <c r="I100" s="70">
        <v>0.49</v>
      </c>
      <c r="J100" s="70"/>
      <c r="K100" s="72">
        <v>26.27</v>
      </c>
      <c r="L100" s="73">
        <v>26.4</v>
      </c>
      <c r="M100" s="81"/>
      <c r="N100" s="82"/>
      <c r="O100" s="80" t="s">
        <v>89</v>
      </c>
      <c r="P100" s="75"/>
      <c r="Q100" s="84"/>
      <c r="R100" s="63">
        <v>35.5</v>
      </c>
      <c r="S100" s="64">
        <f t="shared" si="7"/>
        <v>13.485553705059012</v>
      </c>
      <c r="T100" s="143">
        <v>3</v>
      </c>
      <c r="U100" s="143"/>
      <c r="V100" s="225">
        <v>88</v>
      </c>
      <c r="W100" s="249">
        <f t="shared" si="10"/>
        <v>0</v>
      </c>
      <c r="X100" s="143">
        <f t="shared" si="8"/>
        <v>0</v>
      </c>
      <c r="Y100" s="143">
        <f>IF(OR(K100&gt;Cuts!$B$16, L100&gt;Cuts!B$16), 1,0)</f>
        <v>0</v>
      </c>
      <c r="Z100" s="246">
        <f>IF(OR(C100&gt;Cuts!$C$16, D100&gt;Cuts!$C$16),1,0)</f>
        <v>0</v>
      </c>
      <c r="AA100" s="306">
        <f t="shared" si="9"/>
        <v>0</v>
      </c>
      <c r="AB100" s="793"/>
      <c r="AC100" s="52"/>
      <c r="AD100" s="52"/>
      <c r="AE100" s="57"/>
      <c r="AF100" s="57"/>
      <c r="AG100" s="57"/>
      <c r="AH100" s="57"/>
    </row>
    <row r="101" spans="1:34">
      <c r="A101" s="78">
        <v>89</v>
      </c>
      <c r="B101" s="67"/>
      <c r="C101" s="68">
        <v>204</v>
      </c>
      <c r="D101" s="69">
        <v>204</v>
      </c>
      <c r="E101" s="70">
        <v>0.5</v>
      </c>
      <c r="F101" s="70">
        <v>0.5</v>
      </c>
      <c r="G101" s="70">
        <v>0.51</v>
      </c>
      <c r="H101" s="70">
        <v>0.51</v>
      </c>
      <c r="I101" s="70">
        <v>0.51</v>
      </c>
      <c r="J101" s="70"/>
      <c r="K101" s="72">
        <v>26.16</v>
      </c>
      <c r="L101" s="73">
        <v>26.21</v>
      </c>
      <c r="M101" s="81" t="s">
        <v>89</v>
      </c>
      <c r="N101" s="82" t="s">
        <v>89</v>
      </c>
      <c r="O101" s="80" t="s">
        <v>89</v>
      </c>
      <c r="P101" s="75" t="s">
        <v>89</v>
      </c>
      <c r="Q101" s="83" t="s">
        <v>93</v>
      </c>
      <c r="R101" s="63">
        <v>36.4</v>
      </c>
      <c r="S101" s="64">
        <f t="shared" si="7"/>
        <v>13.466915067614789</v>
      </c>
      <c r="T101" s="143">
        <v>3</v>
      </c>
      <c r="U101" s="143"/>
      <c r="V101" s="225">
        <v>89</v>
      </c>
      <c r="W101" s="249">
        <f t="shared" si="10"/>
        <v>1.0000000000000009E-2</v>
      </c>
      <c r="X101" s="143">
        <f t="shared" si="8"/>
        <v>0</v>
      </c>
      <c r="Y101" s="143">
        <f>IF(OR(K101&gt;Cuts!$B$16, L101&gt;Cuts!B$16), 1,0)</f>
        <v>0</v>
      </c>
      <c r="Z101" s="246">
        <f>IF(OR(C101&gt;Cuts!$C$16, D101&gt;Cuts!$C$16),1,0)</f>
        <v>0</v>
      </c>
      <c r="AA101" s="306">
        <f t="shared" si="9"/>
        <v>0</v>
      </c>
      <c r="AB101" s="793"/>
      <c r="AC101" s="52"/>
      <c r="AD101" s="52"/>
      <c r="AE101" s="57"/>
      <c r="AF101" s="57"/>
      <c r="AG101" s="57"/>
      <c r="AH101" s="57"/>
    </row>
    <row r="102" spans="1:34">
      <c r="A102" s="78">
        <v>90</v>
      </c>
      <c r="B102" s="67"/>
      <c r="C102" s="68">
        <v>204</v>
      </c>
      <c r="D102" s="69">
        <v>204</v>
      </c>
      <c r="E102" s="70">
        <v>0.49</v>
      </c>
      <c r="F102" s="70">
        <v>0.49</v>
      </c>
      <c r="G102" s="70">
        <v>0.49</v>
      </c>
      <c r="H102" s="70">
        <v>0.49</v>
      </c>
      <c r="I102" s="70">
        <v>0.48</v>
      </c>
      <c r="J102" s="70"/>
      <c r="K102" s="72">
        <v>26.3</v>
      </c>
      <c r="L102" s="73">
        <v>26.39</v>
      </c>
      <c r="M102" s="81" t="s">
        <v>89</v>
      </c>
      <c r="N102" s="82" t="s">
        <v>89</v>
      </c>
      <c r="O102" s="80"/>
      <c r="P102" s="75"/>
      <c r="Q102" s="83" t="s">
        <v>93</v>
      </c>
      <c r="R102" s="63">
        <v>34.9</v>
      </c>
      <c r="S102" s="64">
        <f t="shared" si="7"/>
        <v>13.306910460857429</v>
      </c>
      <c r="T102" s="143">
        <v>3</v>
      </c>
      <c r="U102" s="143"/>
      <c r="V102" s="225">
        <v>90</v>
      </c>
      <c r="W102" s="249">
        <f t="shared" si="10"/>
        <v>1.0000000000000009E-2</v>
      </c>
      <c r="X102" s="143">
        <f t="shared" si="8"/>
        <v>0</v>
      </c>
      <c r="Y102" s="143">
        <f>IF(OR(K102&gt;Cuts!$B$16, L102&gt;Cuts!B$16), 1,0)</f>
        <v>0</v>
      </c>
      <c r="Z102" s="246">
        <f>IF(OR(C102&gt;Cuts!$C$16, D102&gt;Cuts!$C$16),1,0)</f>
        <v>0</v>
      </c>
      <c r="AA102" s="306">
        <f t="shared" si="9"/>
        <v>0</v>
      </c>
      <c r="AB102" s="793"/>
      <c r="AC102" s="52"/>
      <c r="AD102" s="52"/>
      <c r="AE102" s="57"/>
      <c r="AF102" s="57"/>
      <c r="AG102" s="57"/>
      <c r="AH102" s="57"/>
    </row>
    <row r="103" spans="1:34">
      <c r="A103" s="78">
        <v>91</v>
      </c>
      <c r="B103" s="67"/>
      <c r="C103" s="68">
        <v>204</v>
      </c>
      <c r="D103" s="69">
        <v>204</v>
      </c>
      <c r="E103" s="70">
        <v>0.49</v>
      </c>
      <c r="F103" s="70">
        <v>0.49</v>
      </c>
      <c r="G103" s="70">
        <v>0.49</v>
      </c>
      <c r="H103" s="70">
        <v>0.49</v>
      </c>
      <c r="I103" s="70">
        <v>0.49</v>
      </c>
      <c r="J103" s="70"/>
      <c r="K103" s="72">
        <v>26.3</v>
      </c>
      <c r="L103" s="73">
        <v>26.43</v>
      </c>
      <c r="M103" s="81"/>
      <c r="N103" s="82" t="s">
        <v>89</v>
      </c>
      <c r="O103" s="67" t="s">
        <v>89</v>
      </c>
      <c r="P103" s="75" t="s">
        <v>89</v>
      </c>
      <c r="Q103" s="83" t="s">
        <v>93</v>
      </c>
      <c r="R103" s="63">
        <v>35.299999999999997</v>
      </c>
      <c r="S103" s="64">
        <f t="shared" si="7"/>
        <v>13.394320368010655</v>
      </c>
      <c r="T103" s="143">
        <v>3</v>
      </c>
      <c r="U103" s="143"/>
      <c r="V103" s="225">
        <v>91</v>
      </c>
      <c r="W103" s="249">
        <f t="shared" si="10"/>
        <v>0</v>
      </c>
      <c r="X103" s="143">
        <f t="shared" si="8"/>
        <v>0</v>
      </c>
      <c r="Y103" s="143">
        <f>IF(OR(K103&gt;Cuts!$B$16, L103&gt;Cuts!B$16), 1,0)</f>
        <v>0</v>
      </c>
      <c r="Z103" s="246">
        <f>IF(OR(C103&gt;Cuts!$C$16, D103&gt;Cuts!$C$16),1,0)</f>
        <v>0</v>
      </c>
      <c r="AA103" s="306">
        <f t="shared" si="9"/>
        <v>0</v>
      </c>
      <c r="AB103" s="793"/>
      <c r="AC103" s="52"/>
      <c r="AD103" s="52"/>
      <c r="AE103" s="57"/>
      <c r="AF103" s="57"/>
      <c r="AG103" s="57"/>
      <c r="AH103" s="57"/>
    </row>
    <row r="104" spans="1:34">
      <c r="A104" s="78">
        <v>92</v>
      </c>
      <c r="B104" s="67"/>
      <c r="C104" s="68">
        <v>204</v>
      </c>
      <c r="D104" s="69">
        <v>204</v>
      </c>
      <c r="E104" s="70">
        <v>0.5</v>
      </c>
      <c r="F104" s="70">
        <v>0.5</v>
      </c>
      <c r="G104" s="70">
        <v>0.49</v>
      </c>
      <c r="H104" s="70">
        <v>0.5</v>
      </c>
      <c r="I104" s="70">
        <v>0.5</v>
      </c>
      <c r="J104" s="70"/>
      <c r="K104" s="72">
        <v>26.24</v>
      </c>
      <c r="L104" s="73">
        <v>26.3</v>
      </c>
      <c r="M104" s="81"/>
      <c r="N104" s="82"/>
      <c r="O104" s="67"/>
      <c r="P104" s="75" t="s">
        <v>89</v>
      </c>
      <c r="Q104" s="84"/>
      <c r="R104" s="63">
        <v>35.299999999999997</v>
      </c>
      <c r="S104" s="64">
        <f t="shared" si="7"/>
        <v>13.226810224244863</v>
      </c>
      <c r="T104" s="143">
        <v>3</v>
      </c>
      <c r="U104" s="143"/>
      <c r="V104" s="225">
        <v>92</v>
      </c>
      <c r="W104" s="249">
        <f t="shared" si="10"/>
        <v>1.0000000000000009E-2</v>
      </c>
      <c r="X104" s="143">
        <f t="shared" si="8"/>
        <v>0</v>
      </c>
      <c r="Y104" s="143">
        <f>IF(OR(K104&gt;Cuts!$B$16, L104&gt;Cuts!B$16), 1,0)</f>
        <v>0</v>
      </c>
      <c r="Z104" s="246">
        <f>IF(OR(C104&gt;Cuts!$C$16, D104&gt;Cuts!$C$16),1,0)</f>
        <v>0</v>
      </c>
      <c r="AA104" s="306">
        <f t="shared" si="9"/>
        <v>0</v>
      </c>
      <c r="AB104" s="793"/>
      <c r="AC104" s="52"/>
      <c r="AD104" s="52"/>
      <c r="AE104" s="57"/>
      <c r="AF104" s="57"/>
      <c r="AG104" s="57"/>
      <c r="AH104" s="57"/>
    </row>
    <row r="105" spans="1:34">
      <c r="A105" s="78">
        <v>93</v>
      </c>
      <c r="B105" s="67"/>
      <c r="C105" s="68">
        <v>204</v>
      </c>
      <c r="D105" s="69">
        <v>204</v>
      </c>
      <c r="E105" s="70">
        <v>0.5</v>
      </c>
      <c r="F105" s="70">
        <v>0.5</v>
      </c>
      <c r="G105" s="70">
        <v>0.51</v>
      </c>
      <c r="H105" s="70">
        <v>0.51</v>
      </c>
      <c r="I105" s="70">
        <v>0.51</v>
      </c>
      <c r="J105" s="70"/>
      <c r="K105" s="72">
        <v>26.35</v>
      </c>
      <c r="L105" s="73">
        <v>26.25</v>
      </c>
      <c r="M105" s="81"/>
      <c r="N105" s="82"/>
      <c r="O105" s="67" t="s">
        <v>89</v>
      </c>
      <c r="P105" s="75" t="s">
        <v>89</v>
      </c>
      <c r="Q105" s="84"/>
      <c r="R105" s="63">
        <v>36.6</v>
      </c>
      <c r="S105" s="64">
        <f t="shared" si="7"/>
        <v>13.481699808073637</v>
      </c>
      <c r="T105" s="143">
        <v>3</v>
      </c>
      <c r="U105" s="143"/>
      <c r="V105" s="225">
        <v>93</v>
      </c>
      <c r="W105" s="249">
        <f t="shared" si="10"/>
        <v>1.0000000000000009E-2</v>
      </c>
      <c r="X105" s="143">
        <f t="shared" si="8"/>
        <v>0</v>
      </c>
      <c r="Y105" s="143">
        <f>IF(OR(K105&gt;Cuts!$B$16, L105&gt;Cuts!B$16), 1,0)</f>
        <v>0</v>
      </c>
      <c r="Z105" s="246">
        <f>IF(OR(C105&gt;Cuts!$C$16, D105&gt;Cuts!$C$16),1,0)</f>
        <v>0</v>
      </c>
      <c r="AA105" s="306">
        <f t="shared" si="9"/>
        <v>0</v>
      </c>
      <c r="AB105" s="793"/>
      <c r="AC105" s="52"/>
      <c r="AD105" s="52"/>
      <c r="AE105" s="57"/>
      <c r="AF105" s="57"/>
      <c r="AG105" s="57"/>
      <c r="AH105" s="57"/>
    </row>
    <row r="106" spans="1:34">
      <c r="A106" s="78">
        <v>94</v>
      </c>
      <c r="B106" s="67"/>
      <c r="C106" s="68">
        <v>204</v>
      </c>
      <c r="D106" s="69">
        <v>204</v>
      </c>
      <c r="E106" s="70">
        <v>0.51</v>
      </c>
      <c r="F106" s="70">
        <v>0.51</v>
      </c>
      <c r="G106" s="70">
        <v>0.51</v>
      </c>
      <c r="H106" s="70">
        <v>0.51</v>
      </c>
      <c r="I106" s="70">
        <v>0.51</v>
      </c>
      <c r="J106" s="70"/>
      <c r="K106" s="72">
        <v>26.21</v>
      </c>
      <c r="L106" s="73">
        <v>26.37</v>
      </c>
      <c r="M106" s="81" t="s">
        <v>89</v>
      </c>
      <c r="N106" s="82"/>
      <c r="O106" s="67" t="s">
        <v>89</v>
      </c>
      <c r="P106" s="75"/>
      <c r="Q106" s="83" t="s">
        <v>94</v>
      </c>
      <c r="R106" s="63">
        <v>36.6</v>
      </c>
      <c r="S106" s="64">
        <f t="shared" si="7"/>
        <v>13.381048837318474</v>
      </c>
      <c r="T106" s="143">
        <v>3</v>
      </c>
      <c r="U106" s="143"/>
      <c r="V106" s="225">
        <v>94</v>
      </c>
      <c r="W106" s="249">
        <f t="shared" si="10"/>
        <v>0</v>
      </c>
      <c r="X106" s="143">
        <f t="shared" si="8"/>
        <v>0</v>
      </c>
      <c r="Y106" s="143">
        <f>IF(OR(K106&gt;Cuts!$B$16, L106&gt;Cuts!B$16), 1,0)</f>
        <v>0</v>
      </c>
      <c r="Z106" s="246">
        <f>IF(OR(C106&gt;Cuts!$C$16, D106&gt;Cuts!$C$16),1,0)</f>
        <v>0</v>
      </c>
      <c r="AA106" s="306">
        <f t="shared" si="9"/>
        <v>0</v>
      </c>
      <c r="AB106" s="793"/>
      <c r="AC106" s="52"/>
      <c r="AD106" s="52"/>
      <c r="AE106" s="57"/>
      <c r="AF106" s="57"/>
      <c r="AG106" s="57"/>
      <c r="AH106" s="57"/>
    </row>
    <row r="107" spans="1:34">
      <c r="A107" s="78">
        <v>95</v>
      </c>
      <c r="B107" s="67"/>
      <c r="C107" s="68">
        <v>204</v>
      </c>
      <c r="D107" s="69">
        <v>204</v>
      </c>
      <c r="E107" s="70">
        <v>0.51</v>
      </c>
      <c r="F107" s="70">
        <v>0.51</v>
      </c>
      <c r="G107" s="70">
        <v>0.51</v>
      </c>
      <c r="H107" s="70">
        <v>0.51</v>
      </c>
      <c r="I107" s="70">
        <v>0.51</v>
      </c>
      <c r="J107" s="70"/>
      <c r="K107" s="72">
        <v>26.26</v>
      </c>
      <c r="L107" s="73">
        <v>26.04</v>
      </c>
      <c r="M107" s="81" t="s">
        <v>89</v>
      </c>
      <c r="N107" s="82" t="s">
        <v>89</v>
      </c>
      <c r="O107" s="67"/>
      <c r="P107" s="75" t="s">
        <v>89</v>
      </c>
      <c r="Q107" s="83" t="s">
        <v>93</v>
      </c>
      <c r="R107" s="63">
        <v>36.6</v>
      </c>
      <c r="S107" s="64">
        <f t="shared" si="7"/>
        <v>13.452687339697997</v>
      </c>
      <c r="T107" s="143">
        <v>3</v>
      </c>
      <c r="U107" s="143"/>
      <c r="V107" s="225">
        <v>95</v>
      </c>
      <c r="W107" s="249">
        <f t="shared" si="10"/>
        <v>0</v>
      </c>
      <c r="X107" s="143">
        <f t="shared" si="8"/>
        <v>0</v>
      </c>
      <c r="Y107" s="143">
        <f>IF(OR(K107&gt;Cuts!$B$16, L107&gt;Cuts!B$16), 1,0)</f>
        <v>0</v>
      </c>
      <c r="Z107" s="246">
        <f>IF(OR(C107&gt;Cuts!$C$16, D107&gt;Cuts!$C$16),1,0)</f>
        <v>0</v>
      </c>
      <c r="AA107" s="306">
        <f t="shared" si="9"/>
        <v>0</v>
      </c>
      <c r="AB107" s="793"/>
      <c r="AC107" s="52"/>
      <c r="AD107" s="52"/>
      <c r="AE107" s="57"/>
      <c r="AF107" s="57"/>
      <c r="AG107" s="57"/>
      <c r="AH107" s="57"/>
    </row>
    <row r="108" spans="1:34">
      <c r="A108" s="78">
        <v>96</v>
      </c>
      <c r="B108" s="67"/>
      <c r="C108" s="68">
        <v>204</v>
      </c>
      <c r="D108" s="69">
        <v>204</v>
      </c>
      <c r="E108" s="70">
        <v>0.51</v>
      </c>
      <c r="F108" s="70">
        <v>0.51</v>
      </c>
      <c r="G108" s="70">
        <v>0.51</v>
      </c>
      <c r="H108" s="70">
        <v>0.51</v>
      </c>
      <c r="I108" s="70">
        <v>0.51</v>
      </c>
      <c r="J108" s="70"/>
      <c r="K108" s="72">
        <v>26.1</v>
      </c>
      <c r="L108" s="73">
        <v>26.41</v>
      </c>
      <c r="M108" s="81"/>
      <c r="N108" s="82" t="s">
        <v>89</v>
      </c>
      <c r="O108" s="67" t="s">
        <v>89</v>
      </c>
      <c r="P108" s="75"/>
      <c r="Q108" s="83" t="s">
        <v>94</v>
      </c>
      <c r="R108" s="63">
        <v>36.200000000000003</v>
      </c>
      <c r="S108" s="64">
        <f t="shared" ref="S108:S139" si="11">R108/(AVERAGE(C108:D108)*AVERAGE(E108:J108)*AVERAGE(K108:L108)*0.001)</f>
        <v>13.252450916326438</v>
      </c>
      <c r="T108" s="143">
        <v>3</v>
      </c>
      <c r="U108" s="143"/>
      <c r="V108" s="225">
        <v>96</v>
      </c>
      <c r="W108" s="249">
        <f t="shared" si="10"/>
        <v>0</v>
      </c>
      <c r="X108" s="143">
        <f t="shared" ref="X108:X139" si="12">IF(OR(ABS(E108-$C$6)&gt;($C$6*0.1),ABS(F108-$C$6)&gt;($C$6*0.1),ABS(G108-$C$6)&gt;($C$6*0.1),ABS(H108-$C$6)&gt;($C$6*0.1),ABS(I108-$C$6)&gt;($C$6*0.1)),1,0)</f>
        <v>0</v>
      </c>
      <c r="Y108" s="143">
        <f>IF(OR(K108&gt;Cuts!$B$16, L108&gt;Cuts!B$16), 1,0)</f>
        <v>0</v>
      </c>
      <c r="Z108" s="246">
        <f>IF(OR(C108&gt;Cuts!$C$16, D108&gt;Cuts!$C$16),1,0)</f>
        <v>0</v>
      </c>
      <c r="AA108" s="306">
        <f t="shared" ref="AA108:AA139" si="13">IF(OR(M108="Y",N108="Y",O108="Y",P108="Y"),1,0)</f>
        <v>0</v>
      </c>
      <c r="AB108" s="793"/>
      <c r="AC108" s="52"/>
      <c r="AD108" s="52"/>
      <c r="AE108" s="57"/>
      <c r="AF108" s="57"/>
      <c r="AG108" s="57"/>
      <c r="AH108" s="57"/>
    </row>
    <row r="109" spans="1:34">
      <c r="A109" s="78">
        <v>97</v>
      </c>
      <c r="B109" s="67"/>
      <c r="C109" s="68">
        <v>204</v>
      </c>
      <c r="D109" s="69">
        <v>204</v>
      </c>
      <c r="E109" s="70">
        <v>0.51</v>
      </c>
      <c r="F109" s="70">
        <v>0.51</v>
      </c>
      <c r="G109" s="70">
        <v>0.51</v>
      </c>
      <c r="H109" s="70">
        <v>0.51</v>
      </c>
      <c r="I109" s="70">
        <v>0.5</v>
      </c>
      <c r="J109" s="70"/>
      <c r="K109" s="72">
        <v>26.23</v>
      </c>
      <c r="L109" s="73">
        <v>26.41</v>
      </c>
      <c r="M109" s="81" t="s">
        <v>89</v>
      </c>
      <c r="N109" s="82"/>
      <c r="O109" s="67"/>
      <c r="P109" s="75"/>
      <c r="Q109" s="83" t="s">
        <v>94</v>
      </c>
      <c r="R109" s="63">
        <v>36.700000000000003</v>
      </c>
      <c r="S109" s="64">
        <f t="shared" si="11"/>
        <v>13.455080474139729</v>
      </c>
      <c r="T109" s="143">
        <v>3</v>
      </c>
      <c r="U109" s="143"/>
      <c r="V109" s="225">
        <v>97</v>
      </c>
      <c r="W109" s="249">
        <f t="shared" si="10"/>
        <v>1.0000000000000009E-2</v>
      </c>
      <c r="X109" s="143">
        <f t="shared" si="12"/>
        <v>0</v>
      </c>
      <c r="Y109" s="143">
        <f>IF(OR(K109&gt;Cuts!$B$16, L109&gt;Cuts!B$16), 1,0)</f>
        <v>0</v>
      </c>
      <c r="Z109" s="246">
        <f>IF(OR(C109&gt;Cuts!$C$16, D109&gt;Cuts!$C$16),1,0)</f>
        <v>0</v>
      </c>
      <c r="AA109" s="306">
        <f t="shared" si="13"/>
        <v>0</v>
      </c>
      <c r="AB109" s="793"/>
      <c r="AC109" s="52"/>
      <c r="AD109" s="52"/>
      <c r="AE109" s="57"/>
      <c r="AF109" s="57"/>
      <c r="AG109" s="57"/>
      <c r="AH109" s="57"/>
    </row>
    <row r="110" spans="1:34">
      <c r="A110" s="78">
        <v>98</v>
      </c>
      <c r="B110" s="67"/>
      <c r="C110" s="68">
        <v>204</v>
      </c>
      <c r="D110" s="69">
        <v>204</v>
      </c>
      <c r="E110" s="70">
        <v>0.5</v>
      </c>
      <c r="F110" s="70">
        <v>0.5</v>
      </c>
      <c r="G110" s="70">
        <v>0.51</v>
      </c>
      <c r="H110" s="70">
        <v>0.51</v>
      </c>
      <c r="I110" s="70">
        <v>0.51</v>
      </c>
      <c r="J110" s="70"/>
      <c r="K110" s="72">
        <v>26.4</v>
      </c>
      <c r="L110" s="73">
        <v>26.21</v>
      </c>
      <c r="M110" s="81"/>
      <c r="N110" s="82" t="s">
        <v>89</v>
      </c>
      <c r="O110" s="67"/>
      <c r="P110" s="75"/>
      <c r="Q110" s="84"/>
      <c r="R110" s="63">
        <v>36.6</v>
      </c>
      <c r="S110" s="64">
        <f t="shared" si="11"/>
        <v>13.479137234454921</v>
      </c>
      <c r="T110" s="143">
        <v>3</v>
      </c>
      <c r="U110" s="143"/>
      <c r="V110" s="225">
        <v>98</v>
      </c>
      <c r="W110" s="249">
        <f t="shared" si="10"/>
        <v>1.0000000000000009E-2</v>
      </c>
      <c r="X110" s="143">
        <f t="shared" si="12"/>
        <v>0</v>
      </c>
      <c r="Y110" s="143">
        <f>IF(OR(K110&gt;Cuts!$B$16, L110&gt;Cuts!B$16), 1,0)</f>
        <v>0</v>
      </c>
      <c r="Z110" s="246">
        <f>IF(OR(C110&gt;Cuts!$C$16, D110&gt;Cuts!$C$16),1,0)</f>
        <v>0</v>
      </c>
      <c r="AA110" s="306">
        <f t="shared" si="13"/>
        <v>0</v>
      </c>
      <c r="AB110" s="793"/>
      <c r="AC110" s="52"/>
      <c r="AD110" s="52"/>
      <c r="AE110" s="57"/>
      <c r="AF110" s="57"/>
      <c r="AG110" s="57"/>
      <c r="AH110" s="57"/>
    </row>
    <row r="111" spans="1:34">
      <c r="A111" s="78">
        <v>99</v>
      </c>
      <c r="B111" s="67"/>
      <c r="C111" s="68">
        <v>204</v>
      </c>
      <c r="D111" s="69">
        <v>204</v>
      </c>
      <c r="E111" s="70">
        <v>0.5</v>
      </c>
      <c r="F111" s="70">
        <v>0.5</v>
      </c>
      <c r="G111" s="70">
        <v>0.5</v>
      </c>
      <c r="H111" s="70">
        <v>0.51</v>
      </c>
      <c r="I111" s="70">
        <v>0.5</v>
      </c>
      <c r="J111" s="70"/>
      <c r="K111" s="72">
        <v>26.26</v>
      </c>
      <c r="L111" s="73">
        <v>26.46</v>
      </c>
      <c r="M111" s="81" t="s">
        <v>89</v>
      </c>
      <c r="N111" s="82" t="s">
        <v>89</v>
      </c>
      <c r="O111" s="67"/>
      <c r="P111" s="75" t="s">
        <v>89</v>
      </c>
      <c r="Q111" s="83" t="s">
        <v>94</v>
      </c>
      <c r="R111" s="63">
        <v>36.299999999999997</v>
      </c>
      <c r="S111" s="64">
        <f t="shared" si="11"/>
        <v>13.447059748153684</v>
      </c>
      <c r="T111" s="143">
        <v>3</v>
      </c>
      <c r="U111" s="143"/>
      <c r="V111" s="225">
        <v>99</v>
      </c>
      <c r="W111" s="249">
        <f t="shared" si="10"/>
        <v>1.0000000000000009E-2</v>
      </c>
      <c r="X111" s="143">
        <f t="shared" si="12"/>
        <v>0</v>
      </c>
      <c r="Y111" s="143">
        <f>IF(OR(K111&gt;Cuts!$B$16, L111&gt;Cuts!B$16), 1,0)</f>
        <v>0</v>
      </c>
      <c r="Z111" s="246">
        <f>IF(OR(C111&gt;Cuts!$C$16, D111&gt;Cuts!$C$16),1,0)</f>
        <v>0</v>
      </c>
      <c r="AA111" s="306">
        <f t="shared" si="13"/>
        <v>0</v>
      </c>
      <c r="AB111" s="793"/>
      <c r="AC111" s="52"/>
      <c r="AD111" s="52"/>
      <c r="AE111" s="57"/>
      <c r="AF111" s="57"/>
      <c r="AG111" s="57"/>
      <c r="AH111" s="57"/>
    </row>
    <row r="112" spans="1:34">
      <c r="A112" s="78">
        <v>100</v>
      </c>
      <c r="B112" s="67"/>
      <c r="C112" s="68">
        <v>204</v>
      </c>
      <c r="D112" s="69">
        <v>204</v>
      </c>
      <c r="E112" s="70">
        <v>0.48</v>
      </c>
      <c r="F112" s="70">
        <v>0.48</v>
      </c>
      <c r="G112" s="70">
        <v>0.49</v>
      </c>
      <c r="H112" s="70">
        <v>0.49</v>
      </c>
      <c r="I112" s="70">
        <v>0.49</v>
      </c>
      <c r="J112" s="70"/>
      <c r="K112" s="72">
        <v>26.47</v>
      </c>
      <c r="L112" s="73">
        <v>26.3</v>
      </c>
      <c r="M112" s="81"/>
      <c r="N112" s="82" t="s">
        <v>89</v>
      </c>
      <c r="O112" s="67" t="s">
        <v>89</v>
      </c>
      <c r="P112" s="75" t="s">
        <v>89</v>
      </c>
      <c r="Q112" s="84"/>
      <c r="R112" s="63">
        <v>35.299999999999997</v>
      </c>
      <c r="S112" s="64">
        <f t="shared" si="11"/>
        <v>13.494325143141914</v>
      </c>
      <c r="T112" s="143">
        <v>3</v>
      </c>
      <c r="U112" s="143"/>
      <c r="V112" s="225">
        <v>100</v>
      </c>
      <c r="W112" s="249">
        <f t="shared" si="10"/>
        <v>1.0000000000000009E-2</v>
      </c>
      <c r="X112" s="143">
        <f t="shared" si="12"/>
        <v>0</v>
      </c>
      <c r="Y112" s="143">
        <f>IF(OR(K112&gt;Cuts!$B$16, L112&gt;Cuts!B$16), 1,0)</f>
        <v>0</v>
      </c>
      <c r="Z112" s="246">
        <f>IF(OR(C112&gt;Cuts!$C$16, D112&gt;Cuts!$C$16),1,0)</f>
        <v>0</v>
      </c>
      <c r="AA112" s="306">
        <f t="shared" si="13"/>
        <v>0</v>
      </c>
      <c r="AB112" s="793"/>
      <c r="AC112" s="52"/>
      <c r="AD112" s="52"/>
      <c r="AE112" s="57"/>
      <c r="AF112" s="57"/>
      <c r="AG112" s="57"/>
      <c r="AH112" s="57"/>
    </row>
    <row r="113" spans="1:34">
      <c r="A113" s="78">
        <v>101</v>
      </c>
      <c r="B113" s="67"/>
      <c r="C113" s="68">
        <v>204</v>
      </c>
      <c r="D113" s="69">
        <v>204</v>
      </c>
      <c r="E113" s="70">
        <v>0.51</v>
      </c>
      <c r="F113" s="70">
        <v>0.51</v>
      </c>
      <c r="G113" s="70">
        <v>0.51</v>
      </c>
      <c r="H113" s="70">
        <v>0.52</v>
      </c>
      <c r="I113" s="70">
        <v>0.51</v>
      </c>
      <c r="J113" s="70"/>
      <c r="K113" s="72">
        <v>26.35</v>
      </c>
      <c r="L113" s="73">
        <v>26.3</v>
      </c>
      <c r="M113" s="81" t="s">
        <v>89</v>
      </c>
      <c r="N113" s="82" t="s">
        <v>89</v>
      </c>
      <c r="O113" s="67" t="s">
        <v>88</v>
      </c>
      <c r="P113" s="75" t="s">
        <v>89</v>
      </c>
      <c r="Q113" s="83" t="s">
        <v>93</v>
      </c>
      <c r="R113" s="63">
        <v>36.6</v>
      </c>
      <c r="S113" s="64">
        <f t="shared" si="11"/>
        <v>13.311058041450199</v>
      </c>
      <c r="T113" s="143">
        <v>3</v>
      </c>
      <c r="U113" s="143"/>
      <c r="V113" s="225">
        <v>101</v>
      </c>
      <c r="W113" s="249">
        <f t="shared" si="10"/>
        <v>1.0000000000000009E-2</v>
      </c>
      <c r="X113" s="143">
        <f t="shared" si="12"/>
        <v>0</v>
      </c>
      <c r="Y113" s="143">
        <f>IF(OR(K113&gt;Cuts!$B$16, L113&gt;Cuts!B$16), 1,0)</f>
        <v>0</v>
      </c>
      <c r="Z113" s="246">
        <f>IF(OR(C113&gt;Cuts!$C$16, D113&gt;Cuts!$C$16),1,0)</f>
        <v>0</v>
      </c>
      <c r="AA113" s="306">
        <f t="shared" si="13"/>
        <v>1</v>
      </c>
      <c r="AB113" s="793"/>
      <c r="AC113" s="52"/>
      <c r="AD113" s="52"/>
      <c r="AE113" s="57"/>
      <c r="AF113" s="57"/>
      <c r="AG113" s="57"/>
      <c r="AH113" s="57"/>
    </row>
    <row r="114" spans="1:34">
      <c r="A114" s="78">
        <v>102</v>
      </c>
      <c r="B114" s="67"/>
      <c r="C114" s="68">
        <v>204</v>
      </c>
      <c r="D114" s="69">
        <v>204</v>
      </c>
      <c r="E114" s="70">
        <v>0.49</v>
      </c>
      <c r="F114" s="70">
        <v>0.49</v>
      </c>
      <c r="G114" s="70">
        <v>0.49</v>
      </c>
      <c r="H114" s="70">
        <v>0.48</v>
      </c>
      <c r="I114" s="70">
        <v>0.48</v>
      </c>
      <c r="J114" s="70"/>
      <c r="K114" s="72">
        <v>26.26</v>
      </c>
      <c r="L114" s="73">
        <v>26.47</v>
      </c>
      <c r="M114" s="81" t="s">
        <v>88</v>
      </c>
      <c r="N114" s="82"/>
      <c r="O114" s="67"/>
      <c r="P114" s="75" t="s">
        <v>89</v>
      </c>
      <c r="Q114" s="84"/>
      <c r="R114" s="63">
        <v>35</v>
      </c>
      <c r="S114" s="64">
        <f t="shared" si="11"/>
        <v>13.389792041839074</v>
      </c>
      <c r="T114" s="143">
        <v>3</v>
      </c>
      <c r="U114" s="143"/>
      <c r="V114" s="225">
        <v>102</v>
      </c>
      <c r="W114" s="249">
        <f t="shared" si="10"/>
        <v>1.0000000000000009E-2</v>
      </c>
      <c r="X114" s="143">
        <f t="shared" si="12"/>
        <v>0</v>
      </c>
      <c r="Y114" s="143">
        <f>IF(OR(K114&gt;Cuts!$B$16, L114&gt;Cuts!B$16), 1,0)</f>
        <v>0</v>
      </c>
      <c r="Z114" s="246">
        <f>IF(OR(C114&gt;Cuts!$C$16, D114&gt;Cuts!$C$16),1,0)</f>
        <v>0</v>
      </c>
      <c r="AA114" s="306">
        <f t="shared" si="13"/>
        <v>1</v>
      </c>
      <c r="AB114" s="793"/>
      <c r="AC114" s="52"/>
      <c r="AD114" s="52"/>
      <c r="AE114" s="57"/>
      <c r="AF114" s="57"/>
      <c r="AG114" s="57"/>
      <c r="AH114" s="57"/>
    </row>
    <row r="115" spans="1:34">
      <c r="A115" s="78">
        <v>103</v>
      </c>
      <c r="B115" s="67"/>
      <c r="C115" s="68">
        <v>204</v>
      </c>
      <c r="D115" s="69">
        <v>204</v>
      </c>
      <c r="E115" s="70">
        <v>0.5</v>
      </c>
      <c r="F115" s="70">
        <v>0.5</v>
      </c>
      <c r="G115" s="70">
        <v>0.5</v>
      </c>
      <c r="H115" s="70">
        <v>0.51</v>
      </c>
      <c r="I115" s="70">
        <v>0.5</v>
      </c>
      <c r="J115" s="70"/>
      <c r="K115" s="72">
        <v>26.28</v>
      </c>
      <c r="L115" s="73">
        <v>26.34</v>
      </c>
      <c r="M115" s="81" t="s">
        <v>88</v>
      </c>
      <c r="N115" s="82" t="s">
        <v>89</v>
      </c>
      <c r="O115" s="67"/>
      <c r="P115" s="75" t="s">
        <v>89</v>
      </c>
      <c r="Q115" s="83" t="s">
        <v>94</v>
      </c>
      <c r="R115" s="63">
        <v>36.6</v>
      </c>
      <c r="S115" s="64">
        <f t="shared" si="11"/>
        <v>13.583958707615933</v>
      </c>
      <c r="T115" s="143">
        <v>3</v>
      </c>
      <c r="U115" s="143"/>
      <c r="V115" s="225">
        <v>103</v>
      </c>
      <c r="W115" s="249">
        <f t="shared" si="10"/>
        <v>1.0000000000000009E-2</v>
      </c>
      <c r="X115" s="143">
        <f t="shared" si="12"/>
        <v>0</v>
      </c>
      <c r="Y115" s="143">
        <f>IF(OR(K115&gt;Cuts!$B$16, L115&gt;Cuts!B$16), 1,0)</f>
        <v>0</v>
      </c>
      <c r="Z115" s="246">
        <f>IF(OR(C115&gt;Cuts!$C$16, D115&gt;Cuts!$C$16),1,0)</f>
        <v>0</v>
      </c>
      <c r="AA115" s="306">
        <f t="shared" si="13"/>
        <v>1</v>
      </c>
      <c r="AB115" s="793"/>
      <c r="AC115" s="52"/>
      <c r="AD115" s="52"/>
      <c r="AE115" s="57"/>
      <c r="AF115" s="57"/>
      <c r="AG115" s="57"/>
      <c r="AH115" s="57"/>
    </row>
    <row r="116" spans="1:34">
      <c r="A116" s="78">
        <v>104</v>
      </c>
      <c r="B116" s="67"/>
      <c r="C116" s="68">
        <v>204</v>
      </c>
      <c r="D116" s="69">
        <v>204</v>
      </c>
      <c r="E116" s="70">
        <v>0.5</v>
      </c>
      <c r="F116" s="70">
        <v>0.5</v>
      </c>
      <c r="G116" s="70">
        <v>0.5</v>
      </c>
      <c r="H116" s="70">
        <v>0.51</v>
      </c>
      <c r="I116" s="70">
        <v>0.5</v>
      </c>
      <c r="J116" s="70"/>
      <c r="K116" s="72">
        <v>26.08</v>
      </c>
      <c r="L116" s="73">
        <v>26.09</v>
      </c>
      <c r="M116" s="81" t="s">
        <v>89</v>
      </c>
      <c r="N116" s="82" t="s">
        <v>89</v>
      </c>
      <c r="O116" s="67"/>
      <c r="P116" s="75"/>
      <c r="Q116" s="83" t="s">
        <v>93</v>
      </c>
      <c r="R116" s="63">
        <v>36</v>
      </c>
      <c r="S116" s="64">
        <f t="shared" si="11"/>
        <v>13.476520464837533</v>
      </c>
      <c r="T116" s="143">
        <v>3</v>
      </c>
      <c r="U116" s="143"/>
      <c r="V116" s="225">
        <v>104</v>
      </c>
      <c r="W116" s="249">
        <f t="shared" si="10"/>
        <v>1.0000000000000009E-2</v>
      </c>
      <c r="X116" s="143">
        <f t="shared" si="12"/>
        <v>0</v>
      </c>
      <c r="Y116" s="143">
        <f>IF(OR(K116&gt;Cuts!$B$16, L116&gt;Cuts!B$16), 1,0)</f>
        <v>0</v>
      </c>
      <c r="Z116" s="246">
        <f>IF(OR(C116&gt;Cuts!$C$16, D116&gt;Cuts!$C$16),1,0)</f>
        <v>0</v>
      </c>
      <c r="AA116" s="306">
        <f t="shared" si="13"/>
        <v>0</v>
      </c>
      <c r="AB116" s="793"/>
      <c r="AC116" s="52"/>
      <c r="AD116" s="52"/>
      <c r="AE116" s="57"/>
      <c r="AF116" s="57"/>
      <c r="AG116" s="57"/>
      <c r="AH116" s="57"/>
    </row>
    <row r="117" spans="1:34">
      <c r="A117" s="78">
        <v>105</v>
      </c>
      <c r="B117" s="67"/>
      <c r="C117" s="68">
        <v>204</v>
      </c>
      <c r="D117" s="69">
        <v>204</v>
      </c>
      <c r="E117" s="70">
        <v>0.5</v>
      </c>
      <c r="F117" s="70">
        <v>0.5</v>
      </c>
      <c r="G117" s="70">
        <v>0.5</v>
      </c>
      <c r="H117" s="70">
        <v>0.5</v>
      </c>
      <c r="I117" s="70">
        <v>0.5</v>
      </c>
      <c r="J117" s="70"/>
      <c r="K117" s="72">
        <v>26.23</v>
      </c>
      <c r="L117" s="73">
        <v>26.13</v>
      </c>
      <c r="M117" s="81" t="s">
        <v>88</v>
      </c>
      <c r="N117" s="82"/>
      <c r="O117" s="67"/>
      <c r="P117" s="75" t="s">
        <v>89</v>
      </c>
      <c r="Q117" s="83" t="s">
        <v>93</v>
      </c>
      <c r="R117" s="63">
        <v>35.9</v>
      </c>
      <c r="S117" s="64">
        <f t="shared" si="11"/>
        <v>13.443880225887145</v>
      </c>
      <c r="T117" s="143">
        <v>3</v>
      </c>
      <c r="U117" s="143"/>
      <c r="V117" s="225">
        <v>105</v>
      </c>
      <c r="W117" s="249">
        <f t="shared" si="10"/>
        <v>0</v>
      </c>
      <c r="X117" s="143">
        <f t="shared" si="12"/>
        <v>0</v>
      </c>
      <c r="Y117" s="143">
        <f>IF(OR(K117&gt;Cuts!$B$16, L117&gt;Cuts!B$16), 1,0)</f>
        <v>0</v>
      </c>
      <c r="Z117" s="246">
        <f>IF(OR(C117&gt;Cuts!$C$16, D117&gt;Cuts!$C$16),1,0)</f>
        <v>0</v>
      </c>
      <c r="AA117" s="306">
        <f t="shared" si="13"/>
        <v>1</v>
      </c>
      <c r="AB117" s="793"/>
      <c r="AC117" s="52"/>
      <c r="AD117" s="52"/>
      <c r="AE117" s="57"/>
      <c r="AF117" s="57"/>
      <c r="AG117" s="57"/>
      <c r="AH117" s="57"/>
    </row>
    <row r="118" spans="1:34">
      <c r="A118" s="78">
        <v>106</v>
      </c>
      <c r="B118" s="67"/>
      <c r="C118" s="68">
        <v>204</v>
      </c>
      <c r="D118" s="69">
        <v>204</v>
      </c>
      <c r="E118" s="70">
        <v>0.5</v>
      </c>
      <c r="F118" s="70">
        <v>0.5</v>
      </c>
      <c r="G118" s="70">
        <v>0.5</v>
      </c>
      <c r="H118" s="70">
        <v>0.51</v>
      </c>
      <c r="I118" s="70">
        <v>0.5</v>
      </c>
      <c r="J118" s="70"/>
      <c r="K118" s="72">
        <v>26.25</v>
      </c>
      <c r="L118" s="73">
        <v>26.12</v>
      </c>
      <c r="M118" s="81"/>
      <c r="N118" s="82"/>
      <c r="O118" s="67"/>
      <c r="P118" s="75" t="s">
        <v>89</v>
      </c>
      <c r="Q118" s="83" t="s">
        <v>93</v>
      </c>
      <c r="R118" s="63">
        <v>36.6</v>
      </c>
      <c r="S118" s="64">
        <f t="shared" si="11"/>
        <v>13.648804796539054</v>
      </c>
      <c r="T118" s="143">
        <v>3</v>
      </c>
      <c r="U118" s="143"/>
      <c r="V118" s="225">
        <v>106</v>
      </c>
      <c r="W118" s="249">
        <f t="shared" si="10"/>
        <v>1.0000000000000009E-2</v>
      </c>
      <c r="X118" s="143">
        <f t="shared" si="12"/>
        <v>0</v>
      </c>
      <c r="Y118" s="143">
        <f>IF(OR(K118&gt;Cuts!$B$16, L118&gt;Cuts!B$16), 1,0)</f>
        <v>0</v>
      </c>
      <c r="Z118" s="246">
        <f>IF(OR(C118&gt;Cuts!$C$16, D118&gt;Cuts!$C$16),1,0)</f>
        <v>0</v>
      </c>
      <c r="AA118" s="306">
        <f t="shared" si="13"/>
        <v>0</v>
      </c>
      <c r="AB118" s="793"/>
      <c r="AC118" s="52"/>
      <c r="AD118" s="52"/>
      <c r="AE118" s="57"/>
      <c r="AF118" s="57"/>
      <c r="AG118" s="57"/>
      <c r="AH118" s="57"/>
    </row>
    <row r="119" spans="1:34">
      <c r="A119" s="78">
        <v>107</v>
      </c>
      <c r="B119" s="67"/>
      <c r="C119" s="68">
        <v>204</v>
      </c>
      <c r="D119" s="69">
        <v>204</v>
      </c>
      <c r="E119" s="70">
        <v>0.51</v>
      </c>
      <c r="F119" s="70">
        <v>0.51</v>
      </c>
      <c r="G119" s="70">
        <v>0.51</v>
      </c>
      <c r="H119" s="70">
        <v>0.51</v>
      </c>
      <c r="I119" s="70">
        <v>0.51</v>
      </c>
      <c r="J119" s="70"/>
      <c r="K119" s="72">
        <v>26.16</v>
      </c>
      <c r="L119" s="73">
        <v>26.08</v>
      </c>
      <c r="M119" s="81"/>
      <c r="N119" s="82"/>
      <c r="O119" s="67" t="s">
        <v>89</v>
      </c>
      <c r="P119" s="75"/>
      <c r="Q119" s="83" t="s">
        <v>93</v>
      </c>
      <c r="R119" s="63">
        <v>36.4</v>
      </c>
      <c r="S119" s="64">
        <f t="shared" si="11"/>
        <v>13.394541974373151</v>
      </c>
      <c r="T119" s="143">
        <v>3</v>
      </c>
      <c r="U119" s="143"/>
      <c r="V119" s="225">
        <v>107</v>
      </c>
      <c r="W119" s="249">
        <f t="shared" si="10"/>
        <v>0</v>
      </c>
      <c r="X119" s="143">
        <f t="shared" si="12"/>
        <v>0</v>
      </c>
      <c r="Y119" s="143">
        <f>IF(OR(K119&gt;Cuts!$B$16, L119&gt;Cuts!B$16), 1,0)</f>
        <v>0</v>
      </c>
      <c r="Z119" s="246">
        <f>IF(OR(C119&gt;Cuts!$C$16, D119&gt;Cuts!$C$16),1,0)</f>
        <v>0</v>
      </c>
      <c r="AA119" s="306">
        <f t="shared" si="13"/>
        <v>0</v>
      </c>
      <c r="AB119" s="793"/>
      <c r="AC119" s="52"/>
      <c r="AD119" s="52"/>
      <c r="AE119" s="57"/>
      <c r="AF119" s="57"/>
      <c r="AG119" s="57"/>
      <c r="AH119" s="57"/>
    </row>
    <row r="120" spans="1:34">
      <c r="A120" s="78">
        <v>108</v>
      </c>
      <c r="B120" s="67"/>
      <c r="C120" s="68">
        <v>204</v>
      </c>
      <c r="D120" s="69">
        <v>204</v>
      </c>
      <c r="E120" s="70">
        <v>0.49</v>
      </c>
      <c r="F120" s="70">
        <v>0.49</v>
      </c>
      <c r="G120" s="70">
        <v>0.49</v>
      </c>
      <c r="H120" s="70">
        <v>0.5</v>
      </c>
      <c r="I120" s="70">
        <v>0.5</v>
      </c>
      <c r="J120" s="70"/>
      <c r="K120" s="72">
        <v>26.26</v>
      </c>
      <c r="L120" s="73">
        <v>26.33</v>
      </c>
      <c r="M120" s="81"/>
      <c r="N120" s="82" t="s">
        <v>89</v>
      </c>
      <c r="O120" s="67" t="s">
        <v>89</v>
      </c>
      <c r="P120" s="75"/>
      <c r="Q120" s="84"/>
      <c r="R120" s="63">
        <v>36.1</v>
      </c>
      <c r="S120" s="64">
        <f t="shared" si="11"/>
        <v>13.623130297067416</v>
      </c>
      <c r="T120" s="143">
        <v>3</v>
      </c>
      <c r="U120" s="143"/>
      <c r="V120" s="225">
        <v>108</v>
      </c>
      <c r="W120" s="249">
        <f t="shared" si="10"/>
        <v>1.0000000000000009E-2</v>
      </c>
      <c r="X120" s="143">
        <f t="shared" si="12"/>
        <v>0</v>
      </c>
      <c r="Y120" s="143">
        <f>IF(OR(K120&gt;Cuts!$B$16, L120&gt;Cuts!B$16), 1,0)</f>
        <v>0</v>
      </c>
      <c r="Z120" s="246">
        <f>IF(OR(C120&gt;Cuts!$C$16, D120&gt;Cuts!$C$16),1,0)</f>
        <v>0</v>
      </c>
      <c r="AA120" s="306">
        <f t="shared" si="13"/>
        <v>0</v>
      </c>
      <c r="AB120" s="793"/>
      <c r="AC120" s="52"/>
      <c r="AD120" s="52"/>
      <c r="AE120" s="57"/>
      <c r="AF120" s="57"/>
      <c r="AG120" s="57"/>
      <c r="AH120" s="57"/>
    </row>
    <row r="121" spans="1:34">
      <c r="A121" s="78">
        <v>109</v>
      </c>
      <c r="B121" s="67"/>
      <c r="C121" s="68">
        <v>204</v>
      </c>
      <c r="D121" s="69">
        <v>204</v>
      </c>
      <c r="E121" s="70">
        <v>0.5</v>
      </c>
      <c r="F121" s="70">
        <v>0.5</v>
      </c>
      <c r="G121" s="70">
        <v>0.5</v>
      </c>
      <c r="H121" s="70">
        <v>0.5</v>
      </c>
      <c r="I121" s="70">
        <v>0.5</v>
      </c>
      <c r="J121" s="70"/>
      <c r="K121" s="72">
        <v>26.22</v>
      </c>
      <c r="L121" s="73">
        <v>26.44</v>
      </c>
      <c r="M121" s="81"/>
      <c r="N121" s="82"/>
      <c r="O121" s="67" t="s">
        <v>89</v>
      </c>
      <c r="P121" s="75"/>
      <c r="Q121" s="83" t="s">
        <v>93</v>
      </c>
      <c r="R121" s="63">
        <v>35.4</v>
      </c>
      <c r="S121" s="64">
        <f t="shared" si="11"/>
        <v>13.181117490672683</v>
      </c>
      <c r="T121" s="143">
        <v>3</v>
      </c>
      <c r="U121" s="143"/>
      <c r="V121" s="225">
        <v>109</v>
      </c>
      <c r="W121" s="249">
        <f t="shared" si="10"/>
        <v>0</v>
      </c>
      <c r="X121" s="143">
        <f t="shared" si="12"/>
        <v>0</v>
      </c>
      <c r="Y121" s="143">
        <f>IF(OR(K121&gt;Cuts!$B$16, L121&gt;Cuts!B$16), 1,0)</f>
        <v>0</v>
      </c>
      <c r="Z121" s="246">
        <f>IF(OR(C121&gt;Cuts!$C$16, D121&gt;Cuts!$C$16),1,0)</f>
        <v>0</v>
      </c>
      <c r="AA121" s="306">
        <f t="shared" si="13"/>
        <v>0</v>
      </c>
      <c r="AB121" s="793"/>
      <c r="AC121" s="52"/>
      <c r="AD121" s="52"/>
      <c r="AE121" s="57"/>
      <c r="AF121" s="57"/>
      <c r="AG121" s="57"/>
      <c r="AH121" s="57"/>
    </row>
    <row r="122" spans="1:34">
      <c r="A122" s="78">
        <v>110</v>
      </c>
      <c r="B122" s="67"/>
      <c r="C122" s="68">
        <v>204</v>
      </c>
      <c r="D122" s="69">
        <v>204</v>
      </c>
      <c r="E122" s="70">
        <v>0.51</v>
      </c>
      <c r="F122" s="70">
        <v>0.5</v>
      </c>
      <c r="G122" s="70">
        <v>0.5</v>
      </c>
      <c r="H122" s="70">
        <v>0.5</v>
      </c>
      <c r="I122" s="70">
        <v>0.51</v>
      </c>
      <c r="J122" s="70"/>
      <c r="K122" s="72">
        <v>26.23</v>
      </c>
      <c r="L122" s="73">
        <v>26.26</v>
      </c>
      <c r="M122" s="81"/>
      <c r="N122" s="82"/>
      <c r="O122" s="67" t="s">
        <v>89</v>
      </c>
      <c r="P122" s="75" t="s">
        <v>89</v>
      </c>
      <c r="Q122" s="83" t="s">
        <v>93</v>
      </c>
      <c r="R122" s="63">
        <v>36.299999999999997</v>
      </c>
      <c r="S122" s="64">
        <f t="shared" si="11"/>
        <v>13.452386733571947</v>
      </c>
      <c r="T122" s="143">
        <v>3</v>
      </c>
      <c r="U122" s="143"/>
      <c r="V122" s="225">
        <v>110</v>
      </c>
      <c r="W122" s="249">
        <f t="shared" si="10"/>
        <v>1.0000000000000009E-2</v>
      </c>
      <c r="X122" s="143">
        <f t="shared" si="12"/>
        <v>0</v>
      </c>
      <c r="Y122" s="143">
        <f>IF(OR(K122&gt;Cuts!$B$16, L122&gt;Cuts!B$16), 1,0)</f>
        <v>0</v>
      </c>
      <c r="Z122" s="246">
        <f>IF(OR(C122&gt;Cuts!$C$16, D122&gt;Cuts!$C$16),1,0)</f>
        <v>0</v>
      </c>
      <c r="AA122" s="306">
        <f t="shared" si="13"/>
        <v>0</v>
      </c>
      <c r="AB122" s="793"/>
      <c r="AC122" s="52"/>
      <c r="AD122" s="52"/>
      <c r="AE122" s="57"/>
      <c r="AF122" s="57"/>
      <c r="AG122" s="57"/>
      <c r="AH122" s="57"/>
    </row>
    <row r="123" spans="1:34">
      <c r="A123" s="78">
        <v>111</v>
      </c>
      <c r="B123" s="67"/>
      <c r="C123" s="68">
        <v>204</v>
      </c>
      <c r="D123" s="69">
        <v>204</v>
      </c>
      <c r="E123" s="70">
        <v>0.51</v>
      </c>
      <c r="F123" s="70">
        <v>0.5</v>
      </c>
      <c r="G123" s="70">
        <v>0.5</v>
      </c>
      <c r="H123" s="70">
        <v>0.5</v>
      </c>
      <c r="I123" s="70">
        <v>0.51</v>
      </c>
      <c r="J123" s="70"/>
      <c r="K123" s="72">
        <v>26.38</v>
      </c>
      <c r="L123" s="73">
        <v>26.25</v>
      </c>
      <c r="M123" s="81"/>
      <c r="N123" s="82" t="s">
        <v>89</v>
      </c>
      <c r="O123" s="67" t="s">
        <v>89</v>
      </c>
      <c r="P123" s="75" t="s">
        <v>89</v>
      </c>
      <c r="Q123" s="84"/>
      <c r="R123" s="63">
        <v>36.700000000000003</v>
      </c>
      <c r="S123" s="64">
        <f t="shared" si="11"/>
        <v>13.564443659111209</v>
      </c>
      <c r="T123" s="143">
        <v>3</v>
      </c>
      <c r="U123" s="143"/>
      <c r="V123" s="225">
        <v>111</v>
      </c>
      <c r="W123" s="249">
        <f t="shared" si="10"/>
        <v>1.0000000000000009E-2</v>
      </c>
      <c r="X123" s="143">
        <f t="shared" si="12"/>
        <v>0</v>
      </c>
      <c r="Y123" s="143">
        <f>IF(OR(K123&gt;Cuts!$B$16, L123&gt;Cuts!B$16), 1,0)</f>
        <v>0</v>
      </c>
      <c r="Z123" s="246">
        <f>IF(OR(C123&gt;Cuts!$C$16, D123&gt;Cuts!$C$16),1,0)</f>
        <v>0</v>
      </c>
      <c r="AA123" s="306">
        <f t="shared" si="13"/>
        <v>0</v>
      </c>
      <c r="AB123" s="793"/>
      <c r="AC123" s="52"/>
      <c r="AD123" s="52"/>
      <c r="AE123" s="57"/>
      <c r="AF123" s="57"/>
      <c r="AG123" s="57"/>
      <c r="AH123" s="57"/>
    </row>
    <row r="124" spans="1:34">
      <c r="A124" s="78">
        <v>112</v>
      </c>
      <c r="B124" s="67"/>
      <c r="C124" s="68">
        <v>204</v>
      </c>
      <c r="D124" s="69">
        <v>204</v>
      </c>
      <c r="E124" s="70">
        <v>0.49</v>
      </c>
      <c r="F124" s="70">
        <v>0.49</v>
      </c>
      <c r="G124" s="70">
        <v>0.49</v>
      </c>
      <c r="H124" s="70">
        <v>0.49</v>
      </c>
      <c r="I124" s="70">
        <v>0.5</v>
      </c>
      <c r="J124" s="70"/>
      <c r="K124" s="72">
        <v>26.35</v>
      </c>
      <c r="L124" s="73">
        <v>26.26</v>
      </c>
      <c r="M124" s="81"/>
      <c r="N124" s="82" t="s">
        <v>89</v>
      </c>
      <c r="O124" s="67" t="s">
        <v>89</v>
      </c>
      <c r="P124" s="75" t="s">
        <v>89</v>
      </c>
      <c r="Q124" s="84"/>
      <c r="R124" s="63">
        <v>35.5</v>
      </c>
      <c r="S124" s="64">
        <f t="shared" si="11"/>
        <v>13.446051698349201</v>
      </c>
      <c r="T124" s="143">
        <v>3</v>
      </c>
      <c r="U124" s="143"/>
      <c r="V124" s="225">
        <v>112</v>
      </c>
      <c r="W124" s="249">
        <f t="shared" si="10"/>
        <v>1.0000000000000009E-2</v>
      </c>
      <c r="X124" s="143">
        <f t="shared" si="12"/>
        <v>0</v>
      </c>
      <c r="Y124" s="143">
        <f>IF(OR(K124&gt;Cuts!$B$16, L124&gt;Cuts!B$16), 1,0)</f>
        <v>0</v>
      </c>
      <c r="Z124" s="246">
        <f>IF(OR(C124&gt;Cuts!$C$16, D124&gt;Cuts!$C$16),1,0)</f>
        <v>0</v>
      </c>
      <c r="AA124" s="306">
        <f t="shared" si="13"/>
        <v>0</v>
      </c>
      <c r="AB124" s="793"/>
      <c r="AC124" s="52"/>
      <c r="AD124" s="52"/>
      <c r="AE124" s="57"/>
      <c r="AF124" s="57"/>
      <c r="AG124" s="57"/>
      <c r="AH124" s="57"/>
    </row>
    <row r="125" spans="1:34">
      <c r="A125" s="78">
        <v>113</v>
      </c>
      <c r="B125" s="67"/>
      <c r="C125" s="68">
        <v>204</v>
      </c>
      <c r="D125" s="69">
        <v>204</v>
      </c>
      <c r="E125" s="70">
        <v>0.5</v>
      </c>
      <c r="F125" s="70">
        <v>0.5</v>
      </c>
      <c r="G125" s="70">
        <v>0.5</v>
      </c>
      <c r="H125" s="70">
        <v>0.5</v>
      </c>
      <c r="I125" s="70">
        <v>0.5</v>
      </c>
      <c r="J125" s="70"/>
      <c r="K125" s="72">
        <v>26.2</v>
      </c>
      <c r="L125" s="73">
        <v>26.35</v>
      </c>
      <c r="M125" s="81" t="s">
        <v>88</v>
      </c>
      <c r="N125" s="82"/>
      <c r="O125" s="67"/>
      <c r="P125" s="75"/>
      <c r="Q125" s="84" t="s">
        <v>96</v>
      </c>
      <c r="R125" s="63">
        <v>36.299999999999997</v>
      </c>
      <c r="S125" s="64">
        <f t="shared" si="11"/>
        <v>13.544523423070466</v>
      </c>
      <c r="T125" s="143">
        <v>3</v>
      </c>
      <c r="U125" s="143"/>
      <c r="V125" s="225">
        <v>113</v>
      </c>
      <c r="W125" s="249">
        <f t="shared" si="10"/>
        <v>0</v>
      </c>
      <c r="X125" s="143">
        <f t="shared" si="12"/>
        <v>0</v>
      </c>
      <c r="Y125" s="143">
        <f>IF(OR(K125&gt;Cuts!$B$16, L125&gt;Cuts!B$16), 1,0)</f>
        <v>0</v>
      </c>
      <c r="Z125" s="246">
        <f>IF(OR(C125&gt;Cuts!$C$16, D125&gt;Cuts!$C$16),1,0)</f>
        <v>0</v>
      </c>
      <c r="AA125" s="306">
        <f t="shared" si="13"/>
        <v>1</v>
      </c>
      <c r="AB125" s="793"/>
      <c r="AC125" s="52"/>
      <c r="AD125" s="52"/>
      <c r="AE125" s="57"/>
      <c r="AF125" s="57"/>
      <c r="AG125" s="57"/>
      <c r="AH125" s="57"/>
    </row>
    <row r="126" spans="1:34">
      <c r="A126" s="78">
        <v>114</v>
      </c>
      <c r="B126" s="67"/>
      <c r="C126" s="68">
        <v>204</v>
      </c>
      <c r="D126" s="69">
        <v>204</v>
      </c>
      <c r="E126" s="70">
        <v>0.49</v>
      </c>
      <c r="F126" s="70">
        <v>0.49</v>
      </c>
      <c r="G126" s="70">
        <v>0.49</v>
      </c>
      <c r="H126" s="70">
        <v>0.49</v>
      </c>
      <c r="I126" s="70">
        <v>0.49</v>
      </c>
      <c r="J126" s="70"/>
      <c r="K126" s="72">
        <v>26.22</v>
      </c>
      <c r="L126" s="73">
        <v>26.33</v>
      </c>
      <c r="M126" s="81" t="s">
        <v>88</v>
      </c>
      <c r="N126" s="82"/>
      <c r="O126" s="67" t="s">
        <v>89</v>
      </c>
      <c r="P126" s="75"/>
      <c r="Q126" s="84" t="s">
        <v>96</v>
      </c>
      <c r="R126" s="63">
        <v>35.1</v>
      </c>
      <c r="S126" s="64">
        <f t="shared" si="11"/>
        <v>13.364051614937127</v>
      </c>
      <c r="T126" s="143">
        <v>3</v>
      </c>
      <c r="U126" s="143"/>
      <c r="V126" s="225">
        <v>114</v>
      </c>
      <c r="W126" s="249">
        <f t="shared" si="10"/>
        <v>0</v>
      </c>
      <c r="X126" s="143">
        <f t="shared" si="12"/>
        <v>0</v>
      </c>
      <c r="Y126" s="143">
        <f>IF(OR(K126&gt;Cuts!$B$16, L126&gt;Cuts!B$16), 1,0)</f>
        <v>0</v>
      </c>
      <c r="Z126" s="246">
        <f>IF(OR(C126&gt;Cuts!$C$16, D126&gt;Cuts!$C$16),1,0)</f>
        <v>0</v>
      </c>
      <c r="AA126" s="306">
        <f t="shared" si="13"/>
        <v>1</v>
      </c>
      <c r="AB126" s="793"/>
      <c r="AC126" s="52"/>
      <c r="AD126" s="52"/>
      <c r="AE126" s="57"/>
      <c r="AF126" s="57"/>
      <c r="AG126" s="57"/>
      <c r="AH126" s="57"/>
    </row>
    <row r="127" spans="1:34">
      <c r="A127" s="78">
        <v>115</v>
      </c>
      <c r="B127" s="67"/>
      <c r="C127" s="68">
        <v>204</v>
      </c>
      <c r="D127" s="69">
        <v>204</v>
      </c>
      <c r="E127" s="70">
        <v>0.49</v>
      </c>
      <c r="F127" s="70">
        <v>0.49</v>
      </c>
      <c r="G127" s="70">
        <v>0.5</v>
      </c>
      <c r="H127" s="70">
        <v>0.5</v>
      </c>
      <c r="I127" s="70">
        <v>0.49</v>
      </c>
      <c r="J127" s="70"/>
      <c r="K127" s="72">
        <v>26.12</v>
      </c>
      <c r="L127" s="73">
        <v>26.14</v>
      </c>
      <c r="M127" s="81" t="s">
        <v>89</v>
      </c>
      <c r="N127" s="82"/>
      <c r="O127" s="67"/>
      <c r="P127" s="75" t="s">
        <v>89</v>
      </c>
      <c r="Q127" s="83" t="s">
        <v>93</v>
      </c>
      <c r="R127" s="63">
        <v>34.9</v>
      </c>
      <c r="S127" s="64">
        <f t="shared" si="11"/>
        <v>13.253448684059384</v>
      </c>
      <c r="T127" s="143">
        <v>3</v>
      </c>
      <c r="U127" s="143"/>
      <c r="V127" s="225">
        <v>115</v>
      </c>
      <c r="W127" s="249">
        <f t="shared" si="10"/>
        <v>1.0000000000000009E-2</v>
      </c>
      <c r="X127" s="143">
        <f t="shared" si="12"/>
        <v>0</v>
      </c>
      <c r="Y127" s="143">
        <f>IF(OR(K127&gt;Cuts!$B$16, L127&gt;Cuts!B$16), 1,0)</f>
        <v>0</v>
      </c>
      <c r="Z127" s="246">
        <f>IF(OR(C127&gt;Cuts!$C$16, D127&gt;Cuts!$C$16),1,0)</f>
        <v>0</v>
      </c>
      <c r="AA127" s="306">
        <f t="shared" si="13"/>
        <v>0</v>
      </c>
      <c r="AB127" s="793"/>
      <c r="AC127" s="52"/>
      <c r="AD127" s="52"/>
      <c r="AE127" s="57"/>
      <c r="AF127" s="57"/>
      <c r="AG127" s="57"/>
      <c r="AH127" s="57"/>
    </row>
    <row r="128" spans="1:34">
      <c r="A128" s="78">
        <v>116</v>
      </c>
      <c r="B128" s="67"/>
      <c r="C128" s="68">
        <v>204</v>
      </c>
      <c r="D128" s="69">
        <v>204</v>
      </c>
      <c r="E128" s="70">
        <v>0.5</v>
      </c>
      <c r="F128" s="70">
        <v>0.5</v>
      </c>
      <c r="G128" s="70">
        <v>0.5</v>
      </c>
      <c r="H128" s="70">
        <v>0.5</v>
      </c>
      <c r="I128" s="70">
        <v>0.5</v>
      </c>
      <c r="J128" s="70"/>
      <c r="K128" s="72">
        <v>26.03</v>
      </c>
      <c r="L128" s="73">
        <v>26.18</v>
      </c>
      <c r="M128" s="81"/>
      <c r="N128" s="82" t="s">
        <v>88</v>
      </c>
      <c r="O128" s="67"/>
      <c r="P128" s="75"/>
      <c r="Q128" s="84"/>
      <c r="R128" s="63">
        <v>36</v>
      </c>
      <c r="S128" s="64">
        <f t="shared" si="11"/>
        <v>13.520060389603072</v>
      </c>
      <c r="T128" s="143">
        <v>3</v>
      </c>
      <c r="U128" s="143"/>
      <c r="V128" s="225">
        <v>116</v>
      </c>
      <c r="W128" s="249">
        <f t="shared" si="10"/>
        <v>0</v>
      </c>
      <c r="X128" s="143">
        <f t="shared" si="12"/>
        <v>0</v>
      </c>
      <c r="Y128" s="143">
        <f>IF(OR(K128&gt;Cuts!$B$16, L128&gt;Cuts!B$16), 1,0)</f>
        <v>0</v>
      </c>
      <c r="Z128" s="246">
        <f>IF(OR(C128&gt;Cuts!$C$16, D128&gt;Cuts!$C$16),1,0)</f>
        <v>0</v>
      </c>
      <c r="AA128" s="306">
        <f t="shared" si="13"/>
        <v>1</v>
      </c>
      <c r="AB128" s="793"/>
      <c r="AC128" s="52"/>
      <c r="AD128" s="52"/>
      <c r="AE128" s="57"/>
      <c r="AF128" s="57"/>
      <c r="AG128" s="57"/>
      <c r="AH128" s="57"/>
    </row>
    <row r="129" spans="1:34">
      <c r="A129" s="78">
        <v>117</v>
      </c>
      <c r="B129" s="67"/>
      <c r="C129" s="68">
        <v>204</v>
      </c>
      <c r="D129" s="69">
        <v>204</v>
      </c>
      <c r="E129" s="70">
        <v>0.49</v>
      </c>
      <c r="F129" s="70">
        <v>0.49</v>
      </c>
      <c r="G129" s="70">
        <v>0.49</v>
      </c>
      <c r="H129" s="70">
        <v>0.49</v>
      </c>
      <c r="I129" s="70">
        <v>0.49</v>
      </c>
      <c r="J129" s="70"/>
      <c r="K129" s="72">
        <v>26.04</v>
      </c>
      <c r="L129" s="73">
        <v>26.29</v>
      </c>
      <c r="M129" s="81"/>
      <c r="N129" s="82"/>
      <c r="O129" s="67"/>
      <c r="P129" s="75" t="s">
        <v>89</v>
      </c>
      <c r="Q129" s="84"/>
      <c r="R129" s="63">
        <v>35.6</v>
      </c>
      <c r="S129" s="64">
        <f t="shared" si="11"/>
        <v>13.611406725885461</v>
      </c>
      <c r="T129" s="143">
        <v>3</v>
      </c>
      <c r="U129" s="143"/>
      <c r="V129" s="225">
        <v>117</v>
      </c>
      <c r="W129" s="249">
        <f t="shared" si="10"/>
        <v>0</v>
      </c>
      <c r="X129" s="143">
        <f t="shared" si="12"/>
        <v>0</v>
      </c>
      <c r="Y129" s="143">
        <f>IF(OR(K129&gt;Cuts!$B$16, L129&gt;Cuts!B$16), 1,0)</f>
        <v>0</v>
      </c>
      <c r="Z129" s="246">
        <f>IF(OR(C129&gt;Cuts!$C$16, D129&gt;Cuts!$C$16),1,0)</f>
        <v>0</v>
      </c>
      <c r="AA129" s="306">
        <f t="shared" si="13"/>
        <v>0</v>
      </c>
      <c r="AB129" s="793"/>
      <c r="AC129" s="52"/>
      <c r="AD129" s="52"/>
      <c r="AE129" s="57"/>
      <c r="AF129" s="57"/>
      <c r="AG129" s="57"/>
      <c r="AH129" s="57"/>
    </row>
    <row r="130" spans="1:34">
      <c r="A130" s="78">
        <v>118</v>
      </c>
      <c r="B130" s="67"/>
      <c r="C130" s="68">
        <v>204</v>
      </c>
      <c r="D130" s="69">
        <v>204</v>
      </c>
      <c r="E130" s="70">
        <v>0.49</v>
      </c>
      <c r="F130" s="70">
        <v>0.49</v>
      </c>
      <c r="G130" s="70">
        <v>0.49</v>
      </c>
      <c r="H130" s="70">
        <v>0.49</v>
      </c>
      <c r="I130" s="70">
        <v>0.49</v>
      </c>
      <c r="J130" s="70"/>
      <c r="K130" s="72">
        <v>26.13</v>
      </c>
      <c r="L130" s="73">
        <v>26.18</v>
      </c>
      <c r="M130" s="81"/>
      <c r="N130" s="82"/>
      <c r="O130" s="67" t="s">
        <v>89</v>
      </c>
      <c r="P130" s="75" t="s">
        <v>89</v>
      </c>
      <c r="Q130" s="83" t="s">
        <v>93</v>
      </c>
      <c r="R130" s="63">
        <v>34.9</v>
      </c>
      <c r="S130" s="64">
        <f t="shared" si="11"/>
        <v>13.348868509361305</v>
      </c>
      <c r="T130" s="143">
        <v>3</v>
      </c>
      <c r="U130" s="143"/>
      <c r="V130" s="225">
        <v>118</v>
      </c>
      <c r="W130" s="249">
        <f t="shared" si="10"/>
        <v>0</v>
      </c>
      <c r="X130" s="143">
        <f t="shared" si="12"/>
        <v>0</v>
      </c>
      <c r="Y130" s="143">
        <f>IF(OR(K130&gt;Cuts!$B$16, L130&gt;Cuts!B$16), 1,0)</f>
        <v>0</v>
      </c>
      <c r="Z130" s="246">
        <f>IF(OR(C130&gt;Cuts!$C$16, D130&gt;Cuts!$C$16),1,0)</f>
        <v>0</v>
      </c>
      <c r="AA130" s="306">
        <f t="shared" si="13"/>
        <v>0</v>
      </c>
      <c r="AB130" s="793"/>
      <c r="AC130" s="52"/>
      <c r="AD130" s="52"/>
      <c r="AE130" s="57"/>
      <c r="AF130" s="57"/>
      <c r="AG130" s="57"/>
      <c r="AH130" s="57"/>
    </row>
    <row r="131" spans="1:34">
      <c r="A131" s="78">
        <v>119</v>
      </c>
      <c r="B131" s="67"/>
      <c r="C131" s="68">
        <v>204</v>
      </c>
      <c r="D131" s="69">
        <v>204</v>
      </c>
      <c r="E131" s="70">
        <v>0.51</v>
      </c>
      <c r="F131" s="70">
        <v>0.5</v>
      </c>
      <c r="G131" s="70">
        <v>0.5</v>
      </c>
      <c r="H131" s="70">
        <v>0.51</v>
      </c>
      <c r="I131" s="70">
        <v>0.51</v>
      </c>
      <c r="J131" s="70"/>
      <c r="K131" s="72">
        <v>26.36</v>
      </c>
      <c r="L131" s="73">
        <v>26.27</v>
      </c>
      <c r="M131" s="81"/>
      <c r="N131" s="82"/>
      <c r="O131" s="67"/>
      <c r="P131" s="75"/>
      <c r="Q131" s="83" t="s">
        <v>94</v>
      </c>
      <c r="R131" s="63">
        <v>36.6</v>
      </c>
      <c r="S131" s="64">
        <f t="shared" si="11"/>
        <v>13.474015008639054</v>
      </c>
      <c r="T131" s="143">
        <v>3</v>
      </c>
      <c r="U131" s="143"/>
      <c r="V131" s="225">
        <v>119</v>
      </c>
      <c r="W131" s="249">
        <f t="shared" si="10"/>
        <v>1.0000000000000009E-2</v>
      </c>
      <c r="X131" s="143">
        <f t="shared" si="12"/>
        <v>0</v>
      </c>
      <c r="Y131" s="143">
        <f>IF(OR(K131&gt;Cuts!$B$16, L131&gt;Cuts!B$16), 1,0)</f>
        <v>0</v>
      </c>
      <c r="Z131" s="246">
        <f>IF(OR(C131&gt;Cuts!$C$16, D131&gt;Cuts!$C$16),1,0)</f>
        <v>0</v>
      </c>
      <c r="AA131" s="306">
        <f t="shared" si="13"/>
        <v>0</v>
      </c>
      <c r="AB131" s="793"/>
      <c r="AC131" s="52"/>
      <c r="AD131" s="52"/>
      <c r="AE131" s="57"/>
      <c r="AF131" s="57"/>
      <c r="AG131" s="57"/>
      <c r="AH131" s="57"/>
    </row>
    <row r="132" spans="1:34">
      <c r="A132" s="78">
        <v>120</v>
      </c>
      <c r="B132" s="67"/>
      <c r="C132" s="68">
        <v>204</v>
      </c>
      <c r="D132" s="69">
        <v>204</v>
      </c>
      <c r="E132" s="70">
        <v>0.49</v>
      </c>
      <c r="F132" s="70">
        <v>0.5</v>
      </c>
      <c r="G132" s="70">
        <v>0.5</v>
      </c>
      <c r="H132" s="70">
        <v>0.5</v>
      </c>
      <c r="I132" s="70">
        <v>0.5</v>
      </c>
      <c r="J132" s="70"/>
      <c r="K132" s="72">
        <v>26.28</v>
      </c>
      <c r="L132" s="73">
        <v>26.19</v>
      </c>
      <c r="M132" s="81"/>
      <c r="N132" s="82"/>
      <c r="O132" s="67" t="s">
        <v>88</v>
      </c>
      <c r="P132" s="75" t="s">
        <v>89</v>
      </c>
      <c r="Q132" s="83" t="s">
        <v>93</v>
      </c>
      <c r="R132" s="63">
        <v>34.700000000000003</v>
      </c>
      <c r="S132" s="64">
        <f t="shared" si="11"/>
        <v>13.019337821320446</v>
      </c>
      <c r="T132" s="143">
        <v>3</v>
      </c>
      <c r="U132" s="143"/>
      <c r="V132" s="225">
        <v>120</v>
      </c>
      <c r="W132" s="249">
        <f t="shared" si="10"/>
        <v>1.0000000000000009E-2</v>
      </c>
      <c r="X132" s="143">
        <f t="shared" si="12"/>
        <v>0</v>
      </c>
      <c r="Y132" s="143">
        <f>IF(OR(K132&gt;Cuts!$B$16, L132&gt;Cuts!B$16), 1,0)</f>
        <v>0</v>
      </c>
      <c r="Z132" s="246">
        <f>IF(OR(C132&gt;Cuts!$C$16, D132&gt;Cuts!$C$16),1,0)</f>
        <v>0</v>
      </c>
      <c r="AA132" s="306">
        <f t="shared" si="13"/>
        <v>1</v>
      </c>
      <c r="AB132" s="793"/>
      <c r="AC132" s="52"/>
      <c r="AD132" s="52"/>
      <c r="AE132" s="57"/>
      <c r="AF132" s="57"/>
      <c r="AG132" s="57"/>
      <c r="AH132" s="57"/>
    </row>
    <row r="133" spans="1:34">
      <c r="A133" s="78">
        <v>121</v>
      </c>
      <c r="B133" s="67"/>
      <c r="C133" s="68">
        <v>204</v>
      </c>
      <c r="D133" s="69">
        <v>204</v>
      </c>
      <c r="E133" s="70">
        <v>0.49</v>
      </c>
      <c r="F133" s="70">
        <v>0.5</v>
      </c>
      <c r="G133" s="70">
        <v>0.5</v>
      </c>
      <c r="H133" s="70">
        <v>0.5</v>
      </c>
      <c r="I133" s="70">
        <v>0.5</v>
      </c>
      <c r="J133" s="70"/>
      <c r="K133" s="85">
        <v>26.08</v>
      </c>
      <c r="L133" s="73">
        <v>26.08</v>
      </c>
      <c r="M133" s="81"/>
      <c r="N133" s="82"/>
      <c r="O133" s="67" t="s">
        <v>88</v>
      </c>
      <c r="P133" s="75" t="s">
        <v>89</v>
      </c>
      <c r="Q133" s="84"/>
      <c r="R133" s="63">
        <v>35.5</v>
      </c>
      <c r="S133" s="64">
        <f t="shared" si="11"/>
        <v>13.398656577470714</v>
      </c>
      <c r="T133" s="143">
        <v>3</v>
      </c>
      <c r="U133" s="143"/>
      <c r="V133" s="225">
        <v>121</v>
      </c>
      <c r="W133" s="249">
        <f t="shared" si="10"/>
        <v>1.0000000000000009E-2</v>
      </c>
      <c r="X133" s="143">
        <f t="shared" si="12"/>
        <v>0</v>
      </c>
      <c r="Y133" s="143">
        <f>IF(OR(K133&gt;Cuts!$B$16, L133&gt;Cuts!B$16), 1,0)</f>
        <v>0</v>
      </c>
      <c r="Z133" s="246">
        <f>IF(OR(C133&gt;Cuts!$C$16, D133&gt;Cuts!$C$16),1,0)</f>
        <v>0</v>
      </c>
      <c r="AA133" s="306">
        <f t="shared" si="13"/>
        <v>1</v>
      </c>
      <c r="AB133" s="793"/>
      <c r="AC133" s="52"/>
      <c r="AD133" s="52"/>
      <c r="AE133" s="57"/>
      <c r="AF133" s="57"/>
      <c r="AG133" s="57"/>
      <c r="AH133" s="57"/>
    </row>
    <row r="134" spans="1:34">
      <c r="A134" s="78">
        <v>122</v>
      </c>
      <c r="B134" s="67"/>
      <c r="C134" s="68">
        <v>204</v>
      </c>
      <c r="D134" s="69">
        <v>204</v>
      </c>
      <c r="E134" s="70">
        <v>0.5</v>
      </c>
      <c r="F134" s="70">
        <v>0.5</v>
      </c>
      <c r="G134" s="70">
        <v>0.5</v>
      </c>
      <c r="H134" s="70">
        <v>0.5</v>
      </c>
      <c r="I134" s="70">
        <v>0.5</v>
      </c>
      <c r="J134" s="70"/>
      <c r="K134" s="72">
        <v>26.08</v>
      </c>
      <c r="L134" s="73">
        <v>26.16</v>
      </c>
      <c r="M134" s="81" t="s">
        <v>89</v>
      </c>
      <c r="N134" s="82"/>
      <c r="O134" s="67" t="s">
        <v>89</v>
      </c>
      <c r="P134" s="75"/>
      <c r="Q134" s="83" t="s">
        <v>93</v>
      </c>
      <c r="R134" s="63">
        <v>36</v>
      </c>
      <c r="S134" s="64">
        <f t="shared" si="11"/>
        <v>13.512296189532474</v>
      </c>
      <c r="T134" s="143">
        <v>3</v>
      </c>
      <c r="U134" s="143"/>
      <c r="V134" s="225">
        <v>122</v>
      </c>
      <c r="W134" s="249">
        <f t="shared" si="10"/>
        <v>0</v>
      </c>
      <c r="X134" s="143">
        <f t="shared" si="12"/>
        <v>0</v>
      </c>
      <c r="Y134" s="143">
        <f>IF(OR(K134&gt;Cuts!$B$16, L134&gt;Cuts!B$16), 1,0)</f>
        <v>0</v>
      </c>
      <c r="Z134" s="246">
        <f>IF(OR(C134&gt;Cuts!$C$16, D134&gt;Cuts!$C$16),1,0)</f>
        <v>0</v>
      </c>
      <c r="AA134" s="306">
        <f t="shared" si="13"/>
        <v>0</v>
      </c>
      <c r="AB134" s="793"/>
      <c r="AC134" s="52"/>
      <c r="AD134" s="52"/>
      <c r="AE134" s="57"/>
      <c r="AF134" s="57"/>
      <c r="AG134" s="57"/>
      <c r="AH134" s="57"/>
    </row>
    <row r="135" spans="1:34">
      <c r="A135" s="171">
        <v>123</v>
      </c>
      <c r="B135" s="67"/>
      <c r="C135" s="68">
        <v>204</v>
      </c>
      <c r="D135" s="69">
        <v>204</v>
      </c>
      <c r="E135" s="70">
        <v>0.5</v>
      </c>
      <c r="F135" s="70">
        <v>0.5</v>
      </c>
      <c r="G135" s="70">
        <v>0.51</v>
      </c>
      <c r="H135" s="70">
        <v>0.51</v>
      </c>
      <c r="I135" s="70">
        <v>0.51</v>
      </c>
      <c r="J135" s="70"/>
      <c r="K135" s="72">
        <v>26.44</v>
      </c>
      <c r="L135" s="73">
        <v>26.2</v>
      </c>
      <c r="M135" s="81" t="s">
        <v>88</v>
      </c>
      <c r="N135" s="82" t="s">
        <v>89</v>
      </c>
      <c r="O135" s="67" t="s">
        <v>88</v>
      </c>
      <c r="P135" s="75" t="s">
        <v>89</v>
      </c>
      <c r="Q135" s="83" t="s">
        <v>94</v>
      </c>
      <c r="R135" s="63">
        <v>37</v>
      </c>
      <c r="S135" s="64">
        <f t="shared" si="11"/>
        <v>13.618684375608792</v>
      </c>
      <c r="T135" s="143">
        <v>3</v>
      </c>
      <c r="U135" s="143"/>
      <c r="V135" s="265">
        <v>123</v>
      </c>
      <c r="W135" s="249">
        <f t="shared" si="10"/>
        <v>1.0000000000000009E-2</v>
      </c>
      <c r="X135" s="143">
        <f t="shared" si="12"/>
        <v>0</v>
      </c>
      <c r="Y135" s="143">
        <f>IF(OR(K135&gt;Cuts!$B$16, L135&gt;Cuts!B$16), 1,0)</f>
        <v>0</v>
      </c>
      <c r="Z135" s="246">
        <f>IF(OR(C135&gt;Cuts!$C$16, D135&gt;Cuts!$C$16),1,0)</f>
        <v>0</v>
      </c>
      <c r="AA135" s="306">
        <f t="shared" si="13"/>
        <v>1</v>
      </c>
      <c r="AB135" s="792" t="s">
        <v>632</v>
      </c>
      <c r="AC135" s="52"/>
      <c r="AD135" s="52"/>
      <c r="AE135" s="57"/>
      <c r="AF135" s="57"/>
      <c r="AG135" s="57"/>
      <c r="AH135" s="57"/>
    </row>
    <row r="136" spans="1:34">
      <c r="A136" s="78">
        <v>124</v>
      </c>
      <c r="B136" s="67"/>
      <c r="C136" s="68">
        <v>204</v>
      </c>
      <c r="D136" s="69">
        <v>204</v>
      </c>
      <c r="E136" s="70">
        <v>0.51</v>
      </c>
      <c r="F136" s="70">
        <v>0.51</v>
      </c>
      <c r="G136" s="70">
        <v>0.51</v>
      </c>
      <c r="H136" s="70">
        <v>0.51</v>
      </c>
      <c r="I136" s="70">
        <v>0.51</v>
      </c>
      <c r="J136" s="70"/>
      <c r="K136" s="72">
        <v>26.06</v>
      </c>
      <c r="L136" s="73">
        <v>26.05</v>
      </c>
      <c r="M136" s="81"/>
      <c r="N136" s="82"/>
      <c r="O136" s="67" t="s">
        <v>89</v>
      </c>
      <c r="P136" s="75"/>
      <c r="Q136" s="84"/>
      <c r="R136" s="63">
        <v>36.299999999999997</v>
      </c>
      <c r="S136" s="64">
        <f t="shared" si="11"/>
        <v>13.391067648796341</v>
      </c>
      <c r="T136" s="143">
        <v>3</v>
      </c>
      <c r="U136" s="143"/>
      <c r="V136" s="225">
        <v>124</v>
      </c>
      <c r="W136" s="249">
        <f t="shared" si="10"/>
        <v>0</v>
      </c>
      <c r="X136" s="143">
        <f t="shared" si="12"/>
        <v>0</v>
      </c>
      <c r="Y136" s="143">
        <f>IF(OR(K136&gt;Cuts!$B$16, L136&gt;Cuts!B$16), 1,0)</f>
        <v>0</v>
      </c>
      <c r="Z136" s="246">
        <f>IF(OR(C136&gt;Cuts!$C$16, D136&gt;Cuts!$C$16),1,0)</f>
        <v>0</v>
      </c>
      <c r="AA136" s="306">
        <f t="shared" si="13"/>
        <v>0</v>
      </c>
      <c r="AB136" s="793"/>
      <c r="AC136" s="52"/>
      <c r="AD136" s="52"/>
      <c r="AE136" s="57"/>
      <c r="AF136" s="57"/>
      <c r="AG136" s="57"/>
      <c r="AH136" s="57"/>
    </row>
    <row r="137" spans="1:34">
      <c r="A137" s="78">
        <v>125</v>
      </c>
      <c r="B137" s="67"/>
      <c r="C137" s="68">
        <v>204</v>
      </c>
      <c r="D137" s="69">
        <v>204</v>
      </c>
      <c r="E137" s="70">
        <v>0.5</v>
      </c>
      <c r="F137" s="70">
        <v>0.5</v>
      </c>
      <c r="G137" s="70">
        <v>0.5</v>
      </c>
      <c r="H137" s="70">
        <v>0.5</v>
      </c>
      <c r="I137" s="70">
        <v>0.5</v>
      </c>
      <c r="J137" s="70"/>
      <c r="K137" s="85">
        <v>26.11</v>
      </c>
      <c r="L137" s="73">
        <v>26.08</v>
      </c>
      <c r="M137" s="81" t="s">
        <v>89</v>
      </c>
      <c r="N137" s="82"/>
      <c r="O137" s="67" t="s">
        <v>89</v>
      </c>
      <c r="P137" s="75" t="s">
        <v>88</v>
      </c>
      <c r="Q137" s="84" t="s">
        <v>92</v>
      </c>
      <c r="R137" s="63">
        <v>35.5</v>
      </c>
      <c r="S137" s="64">
        <f t="shared" si="11"/>
        <v>13.337390905777907</v>
      </c>
      <c r="T137" s="143">
        <v>3</v>
      </c>
      <c r="U137" s="143"/>
      <c r="V137" s="225">
        <v>125</v>
      </c>
      <c r="W137" s="249">
        <f t="shared" si="10"/>
        <v>0</v>
      </c>
      <c r="X137" s="143">
        <f t="shared" si="12"/>
        <v>0</v>
      </c>
      <c r="Y137" s="143">
        <f>IF(OR(K137&gt;Cuts!$B$16, L137&gt;Cuts!B$16), 1,0)</f>
        <v>0</v>
      </c>
      <c r="Z137" s="246">
        <f>IF(OR(C137&gt;Cuts!$C$16, D137&gt;Cuts!$C$16),1,0)</f>
        <v>0</v>
      </c>
      <c r="AA137" s="306">
        <f t="shared" si="13"/>
        <v>1</v>
      </c>
      <c r="AB137" s="793"/>
      <c r="AC137" s="52"/>
      <c r="AD137" s="52"/>
      <c r="AE137" s="57"/>
      <c r="AF137" s="57"/>
      <c r="AG137" s="57"/>
      <c r="AH137" s="57"/>
    </row>
    <row r="138" spans="1:34">
      <c r="A138" s="78">
        <v>126</v>
      </c>
      <c r="B138" s="67"/>
      <c r="C138" s="68">
        <v>204</v>
      </c>
      <c r="D138" s="69">
        <v>204</v>
      </c>
      <c r="E138" s="70">
        <v>0.5</v>
      </c>
      <c r="F138" s="70">
        <v>0.5</v>
      </c>
      <c r="G138" s="70">
        <v>0.5</v>
      </c>
      <c r="H138" s="70">
        <v>0.5</v>
      </c>
      <c r="I138" s="70">
        <v>0.5</v>
      </c>
      <c r="J138" s="70"/>
      <c r="K138" s="85">
        <v>26.16</v>
      </c>
      <c r="L138" s="73">
        <v>26.05</v>
      </c>
      <c r="M138" s="81"/>
      <c r="N138" s="82" t="s">
        <v>88</v>
      </c>
      <c r="O138" s="67" t="s">
        <v>89</v>
      </c>
      <c r="P138" s="75"/>
      <c r="Q138" s="83" t="s">
        <v>93</v>
      </c>
      <c r="R138" s="63">
        <v>35.799999999999997</v>
      </c>
      <c r="S138" s="64">
        <f t="shared" si="11"/>
        <v>13.444948942994166</v>
      </c>
      <c r="T138" s="143">
        <v>3</v>
      </c>
      <c r="U138" s="143"/>
      <c r="V138" s="225">
        <v>126</v>
      </c>
      <c r="W138" s="249">
        <f t="shared" si="10"/>
        <v>0</v>
      </c>
      <c r="X138" s="143">
        <f t="shared" si="12"/>
        <v>0</v>
      </c>
      <c r="Y138" s="143">
        <f>IF(OR(K138&gt;Cuts!$B$16, L138&gt;Cuts!B$16), 1,0)</f>
        <v>0</v>
      </c>
      <c r="Z138" s="246">
        <f>IF(OR(C138&gt;Cuts!$C$16, D138&gt;Cuts!$C$16),1,0)</f>
        <v>0</v>
      </c>
      <c r="AA138" s="306">
        <f t="shared" si="13"/>
        <v>1</v>
      </c>
      <c r="AB138" s="793"/>
      <c r="AC138" s="52"/>
      <c r="AD138" s="52"/>
      <c r="AE138" s="57"/>
      <c r="AF138" s="57"/>
      <c r="AG138" s="57"/>
      <c r="AH138" s="57"/>
    </row>
    <row r="139" spans="1:34">
      <c r="A139" s="78">
        <v>127</v>
      </c>
      <c r="B139" s="67"/>
      <c r="C139" s="68">
        <v>204</v>
      </c>
      <c r="D139" s="69">
        <v>204</v>
      </c>
      <c r="E139" s="70">
        <v>0.51</v>
      </c>
      <c r="F139" s="70">
        <v>0.51</v>
      </c>
      <c r="G139" s="70">
        <v>0.51</v>
      </c>
      <c r="H139" s="70">
        <v>0.52</v>
      </c>
      <c r="I139" s="70">
        <v>0.52</v>
      </c>
      <c r="J139" s="70"/>
      <c r="K139" s="85">
        <v>26.4</v>
      </c>
      <c r="L139" s="73">
        <v>26.2</v>
      </c>
      <c r="M139" s="81"/>
      <c r="N139" s="82"/>
      <c r="O139" s="67"/>
      <c r="P139" s="75" t="s">
        <v>89</v>
      </c>
      <c r="Q139" s="84"/>
      <c r="R139" s="63">
        <v>37.4</v>
      </c>
      <c r="S139" s="64">
        <f t="shared" si="11"/>
        <v>13.561963377767258</v>
      </c>
      <c r="T139" s="143">
        <v>3</v>
      </c>
      <c r="U139" s="143"/>
      <c r="V139" s="225">
        <v>127</v>
      </c>
      <c r="W139" s="249">
        <f t="shared" si="10"/>
        <v>1.0000000000000009E-2</v>
      </c>
      <c r="X139" s="143">
        <f t="shared" si="12"/>
        <v>0</v>
      </c>
      <c r="Y139" s="143">
        <f>IF(OR(K139&gt;Cuts!$B$16, L139&gt;Cuts!B$16), 1,0)</f>
        <v>0</v>
      </c>
      <c r="Z139" s="246">
        <f>IF(OR(C139&gt;Cuts!$C$16, D139&gt;Cuts!$C$16),1,0)</f>
        <v>0</v>
      </c>
      <c r="AA139" s="306">
        <f t="shared" si="13"/>
        <v>0</v>
      </c>
      <c r="AB139" s="793"/>
      <c r="AC139" s="52"/>
      <c r="AD139" s="52"/>
      <c r="AE139" s="57"/>
      <c r="AF139" s="57"/>
      <c r="AG139" s="57"/>
      <c r="AH139" s="57"/>
    </row>
    <row r="140" spans="1:34">
      <c r="A140" s="78">
        <v>128</v>
      </c>
      <c r="B140" s="67"/>
      <c r="C140" s="68">
        <v>204</v>
      </c>
      <c r="D140" s="69">
        <v>204</v>
      </c>
      <c r="E140" s="70">
        <v>0.51</v>
      </c>
      <c r="F140" s="70">
        <v>0.51</v>
      </c>
      <c r="G140" s="70">
        <v>0.51</v>
      </c>
      <c r="H140" s="70">
        <v>0.51</v>
      </c>
      <c r="I140" s="70">
        <v>0.51</v>
      </c>
      <c r="J140" s="70"/>
      <c r="K140" s="85">
        <v>26.22</v>
      </c>
      <c r="L140" s="73">
        <v>26.38</v>
      </c>
      <c r="M140" s="81"/>
      <c r="N140" s="82" t="s">
        <v>89</v>
      </c>
      <c r="O140" s="67" t="s">
        <v>89</v>
      </c>
      <c r="P140" s="75" t="s">
        <v>88</v>
      </c>
      <c r="Q140" s="84"/>
      <c r="R140" s="63">
        <v>36.799999999999997</v>
      </c>
      <c r="S140" s="64">
        <f t="shared" ref="S140:S165" si="14">R140/(AVERAGE(C140:D140)*AVERAGE(E140:J140)*AVERAGE(K140:L140)*0.001)</f>
        <v>13.449053669033407</v>
      </c>
      <c r="T140" s="143">
        <v>3</v>
      </c>
      <c r="U140" s="143"/>
      <c r="V140" s="225">
        <v>128</v>
      </c>
      <c r="W140" s="249">
        <f t="shared" si="10"/>
        <v>0</v>
      </c>
      <c r="X140" s="143">
        <f t="shared" ref="X140:X165" si="15">IF(OR(ABS(E140-$C$6)&gt;($C$6*0.1),ABS(F140-$C$6)&gt;($C$6*0.1),ABS(G140-$C$6)&gt;($C$6*0.1),ABS(H140-$C$6)&gt;($C$6*0.1),ABS(I140-$C$6)&gt;($C$6*0.1)),1,0)</f>
        <v>0</v>
      </c>
      <c r="Y140" s="143">
        <f>IF(OR(K140&gt;Cuts!$B$16, L140&gt;Cuts!B$16), 1,0)</f>
        <v>0</v>
      </c>
      <c r="Z140" s="246">
        <f>IF(OR(C140&gt;Cuts!$C$16, D140&gt;Cuts!$C$16),1,0)</f>
        <v>0</v>
      </c>
      <c r="AA140" s="306">
        <f t="shared" ref="AA140:AA165" si="16">IF(OR(M140="Y",N140="Y",O140="Y",P140="Y"),1,0)</f>
        <v>1</v>
      </c>
      <c r="AB140" s="793"/>
      <c r="AC140" s="52"/>
      <c r="AD140" s="52"/>
      <c r="AE140" s="57"/>
      <c r="AF140" s="57"/>
      <c r="AG140" s="57"/>
      <c r="AH140" s="57"/>
    </row>
    <row r="141" spans="1:34">
      <c r="A141" s="171">
        <v>129</v>
      </c>
      <c r="B141" s="67"/>
      <c r="C141" s="68">
        <v>204</v>
      </c>
      <c r="D141" s="69">
        <v>204</v>
      </c>
      <c r="E141" s="70">
        <v>0.51</v>
      </c>
      <c r="F141" s="70">
        <v>0.51</v>
      </c>
      <c r="G141" s="70">
        <v>0.51</v>
      </c>
      <c r="H141" s="70">
        <v>0.51</v>
      </c>
      <c r="I141" s="70">
        <v>0.5</v>
      </c>
      <c r="J141" s="70"/>
      <c r="K141" s="72">
        <v>26.26</v>
      </c>
      <c r="L141" s="73">
        <v>26.39</v>
      </c>
      <c r="M141" s="81" t="s">
        <v>88</v>
      </c>
      <c r="N141" s="82" t="s">
        <v>88</v>
      </c>
      <c r="O141" s="67"/>
      <c r="P141" s="75"/>
      <c r="Q141" s="83" t="s">
        <v>93</v>
      </c>
      <c r="R141" s="63">
        <v>36.299999999999997</v>
      </c>
      <c r="S141" s="64">
        <f t="shared" si="14"/>
        <v>13.305903378467834</v>
      </c>
      <c r="T141" s="143">
        <v>3</v>
      </c>
      <c r="U141" s="143"/>
      <c r="V141" s="265">
        <v>129</v>
      </c>
      <c r="W141" s="249">
        <f t="shared" si="10"/>
        <v>1.0000000000000009E-2</v>
      </c>
      <c r="X141" s="143">
        <f t="shared" si="15"/>
        <v>0</v>
      </c>
      <c r="Y141" s="143">
        <f>IF(OR(K141&gt;Cuts!$B$16, L141&gt;Cuts!B$16), 1,0)</f>
        <v>0</v>
      </c>
      <c r="Z141" s="246">
        <f>IF(OR(C141&gt;Cuts!$C$16, D141&gt;Cuts!$C$16),1,0)</f>
        <v>0</v>
      </c>
      <c r="AA141" s="306">
        <f t="shared" si="16"/>
        <v>1</v>
      </c>
      <c r="AB141" s="792" t="s">
        <v>632</v>
      </c>
      <c r="AC141" s="52"/>
      <c r="AD141" s="52"/>
      <c r="AE141" s="57"/>
      <c r="AF141" s="57"/>
      <c r="AG141" s="57"/>
      <c r="AH141" s="57"/>
    </row>
    <row r="142" spans="1:34">
      <c r="A142" s="78">
        <v>130</v>
      </c>
      <c r="B142" s="67"/>
      <c r="C142" s="68">
        <v>204</v>
      </c>
      <c r="D142" s="69">
        <v>204</v>
      </c>
      <c r="E142" s="70">
        <v>0.51</v>
      </c>
      <c r="F142" s="70">
        <v>0.51</v>
      </c>
      <c r="G142" s="70">
        <v>0.51</v>
      </c>
      <c r="H142" s="70">
        <v>0.51</v>
      </c>
      <c r="I142" s="70">
        <v>0.51</v>
      </c>
      <c r="J142" s="70"/>
      <c r="K142" s="72">
        <v>26.23</v>
      </c>
      <c r="L142" s="73">
        <v>26.44</v>
      </c>
      <c r="M142" s="81" t="s">
        <v>89</v>
      </c>
      <c r="N142" s="82" t="s">
        <v>89</v>
      </c>
      <c r="O142" s="67"/>
      <c r="P142" s="75"/>
      <c r="Q142" s="84"/>
      <c r="R142" s="63">
        <v>36.9</v>
      </c>
      <c r="S142" s="64">
        <f t="shared" si="14"/>
        <v>13.467677246129353</v>
      </c>
      <c r="T142" s="143">
        <v>3</v>
      </c>
      <c r="U142" s="143"/>
      <c r="V142" s="225">
        <v>130</v>
      </c>
      <c r="W142" s="249">
        <f t="shared" ref="W142:W165" si="17">MAX(E142:I142)-MIN(E142:I142)</f>
        <v>0</v>
      </c>
      <c r="X142" s="143">
        <f t="shared" si="15"/>
        <v>0</v>
      </c>
      <c r="Y142" s="143">
        <f>IF(OR(K142&gt;Cuts!$B$16, L142&gt;Cuts!B$16), 1,0)</f>
        <v>0</v>
      </c>
      <c r="Z142" s="246">
        <f>IF(OR(C142&gt;Cuts!$C$16, D142&gt;Cuts!$C$16),1,0)</f>
        <v>0</v>
      </c>
      <c r="AA142" s="306">
        <f t="shared" si="16"/>
        <v>0</v>
      </c>
      <c r="AB142" s="793"/>
      <c r="AC142" s="52"/>
      <c r="AD142" s="52"/>
      <c r="AE142" s="57"/>
      <c r="AF142" s="57"/>
      <c r="AG142" s="57"/>
      <c r="AH142" s="57"/>
    </row>
    <row r="143" spans="1:34">
      <c r="A143" s="78">
        <v>131</v>
      </c>
      <c r="B143" s="67"/>
      <c r="C143" s="68">
        <v>204</v>
      </c>
      <c r="D143" s="69">
        <v>204</v>
      </c>
      <c r="E143" s="70">
        <v>0.5</v>
      </c>
      <c r="F143" s="70">
        <v>0.5</v>
      </c>
      <c r="G143" s="70">
        <v>0.5</v>
      </c>
      <c r="H143" s="70">
        <v>0.5</v>
      </c>
      <c r="I143" s="70">
        <v>0.51</v>
      </c>
      <c r="J143" s="70"/>
      <c r="K143" s="72">
        <v>26.41</v>
      </c>
      <c r="L143" s="73">
        <v>26.26</v>
      </c>
      <c r="M143" s="81"/>
      <c r="N143" s="82" t="s">
        <v>89</v>
      </c>
      <c r="O143" s="67" t="s">
        <v>89</v>
      </c>
      <c r="P143" s="75" t="s">
        <v>88</v>
      </c>
      <c r="Q143" s="84"/>
      <c r="R143" s="63">
        <v>36.700000000000003</v>
      </c>
      <c r="S143" s="64">
        <f t="shared" si="14"/>
        <v>13.608142768535783</v>
      </c>
      <c r="T143" s="143">
        <v>3</v>
      </c>
      <c r="U143" s="143"/>
      <c r="V143" s="225">
        <v>131</v>
      </c>
      <c r="W143" s="249">
        <f t="shared" si="17"/>
        <v>1.0000000000000009E-2</v>
      </c>
      <c r="X143" s="143">
        <f t="shared" si="15"/>
        <v>0</v>
      </c>
      <c r="Y143" s="143">
        <f>IF(OR(K143&gt;Cuts!$B$16, L143&gt;Cuts!B$16), 1,0)</f>
        <v>0</v>
      </c>
      <c r="Z143" s="246">
        <f>IF(OR(C143&gt;Cuts!$C$16, D143&gt;Cuts!$C$16),1,0)</f>
        <v>0</v>
      </c>
      <c r="AA143" s="306">
        <f t="shared" si="16"/>
        <v>1</v>
      </c>
      <c r="AB143" s="793"/>
      <c r="AC143" s="52"/>
      <c r="AD143" s="52"/>
      <c r="AE143" s="57"/>
      <c r="AF143" s="57"/>
      <c r="AG143" s="57"/>
      <c r="AH143" s="57"/>
    </row>
    <row r="144" spans="1:34">
      <c r="A144" s="78">
        <v>132</v>
      </c>
      <c r="B144" s="67"/>
      <c r="C144" s="68">
        <v>204</v>
      </c>
      <c r="D144" s="69">
        <v>204</v>
      </c>
      <c r="E144" s="70">
        <v>0.5</v>
      </c>
      <c r="F144" s="70">
        <v>0.5</v>
      </c>
      <c r="G144" s="70">
        <v>0.51</v>
      </c>
      <c r="H144" s="70">
        <v>0.51</v>
      </c>
      <c r="I144" s="70">
        <v>0.51</v>
      </c>
      <c r="J144" s="70"/>
      <c r="K144" s="72">
        <v>26.39</v>
      </c>
      <c r="L144" s="73">
        <v>26.23</v>
      </c>
      <c r="M144" s="81" t="s">
        <v>89</v>
      </c>
      <c r="N144" s="82"/>
      <c r="O144" s="67"/>
      <c r="P144" s="75" t="s">
        <v>89</v>
      </c>
      <c r="Q144" s="83" t="s">
        <v>93</v>
      </c>
      <c r="R144" s="63">
        <v>37.1</v>
      </c>
      <c r="S144" s="64">
        <f t="shared" si="14"/>
        <v>13.660681859347969</v>
      </c>
      <c r="T144" s="143">
        <v>3</v>
      </c>
      <c r="U144" s="143"/>
      <c r="V144" s="225">
        <v>132</v>
      </c>
      <c r="W144" s="249">
        <f t="shared" si="17"/>
        <v>1.0000000000000009E-2</v>
      </c>
      <c r="X144" s="143">
        <f t="shared" si="15"/>
        <v>0</v>
      </c>
      <c r="Y144" s="143">
        <f>IF(OR(K144&gt;Cuts!$B$16, L144&gt;Cuts!B$16), 1,0)</f>
        <v>0</v>
      </c>
      <c r="Z144" s="246">
        <f>IF(OR(C144&gt;Cuts!$C$16, D144&gt;Cuts!$C$16),1,0)</f>
        <v>0</v>
      </c>
      <c r="AA144" s="306">
        <f t="shared" si="16"/>
        <v>0</v>
      </c>
      <c r="AB144" s="793"/>
      <c r="AC144" s="52"/>
      <c r="AD144" s="52"/>
      <c r="AE144" s="57"/>
      <c r="AF144" s="57"/>
      <c r="AG144" s="57"/>
      <c r="AH144" s="57"/>
    </row>
    <row r="145" spans="1:34">
      <c r="A145" s="78">
        <v>133</v>
      </c>
      <c r="B145" s="67"/>
      <c r="C145" s="68">
        <v>204</v>
      </c>
      <c r="D145" s="69">
        <v>204</v>
      </c>
      <c r="E145" s="70">
        <v>0.5</v>
      </c>
      <c r="F145" s="70">
        <v>0.5</v>
      </c>
      <c r="G145" s="70">
        <v>0.5</v>
      </c>
      <c r="H145" s="70">
        <v>0.51</v>
      </c>
      <c r="I145" s="70">
        <v>0.51</v>
      </c>
      <c r="J145" s="70"/>
      <c r="K145" s="72">
        <v>26.26</v>
      </c>
      <c r="L145" s="73">
        <v>26.37</v>
      </c>
      <c r="M145" s="81"/>
      <c r="N145" s="82" t="s">
        <v>89</v>
      </c>
      <c r="O145" s="67"/>
      <c r="P145" s="75" t="s">
        <v>88</v>
      </c>
      <c r="Q145" s="84"/>
      <c r="R145" s="63">
        <v>36.6</v>
      </c>
      <c r="S145" s="64">
        <f t="shared" si="14"/>
        <v>13.5274833221654</v>
      </c>
      <c r="T145" s="143">
        <v>3</v>
      </c>
      <c r="U145" s="143"/>
      <c r="V145" s="225">
        <v>133</v>
      </c>
      <c r="W145" s="249">
        <f t="shared" si="17"/>
        <v>1.0000000000000009E-2</v>
      </c>
      <c r="X145" s="143">
        <f t="shared" si="15"/>
        <v>0</v>
      </c>
      <c r="Y145" s="143">
        <f>IF(OR(K145&gt;Cuts!$B$16, L145&gt;Cuts!B$16), 1,0)</f>
        <v>0</v>
      </c>
      <c r="Z145" s="246">
        <f>IF(OR(C145&gt;Cuts!$C$16, D145&gt;Cuts!$C$16),1,0)</f>
        <v>0</v>
      </c>
      <c r="AA145" s="306">
        <f t="shared" si="16"/>
        <v>1</v>
      </c>
      <c r="AB145" s="793"/>
      <c r="AC145" s="52"/>
      <c r="AD145" s="52"/>
      <c r="AE145" s="57"/>
      <c r="AF145" s="57"/>
      <c r="AG145" s="57"/>
      <c r="AH145" s="57"/>
    </row>
    <row r="146" spans="1:34">
      <c r="A146" s="171">
        <v>134</v>
      </c>
      <c r="B146" s="67"/>
      <c r="C146" s="68">
        <v>204</v>
      </c>
      <c r="D146" s="69">
        <v>204</v>
      </c>
      <c r="E146" s="70">
        <v>0.5</v>
      </c>
      <c r="F146" s="70">
        <v>0.5</v>
      </c>
      <c r="G146" s="70">
        <v>0.5</v>
      </c>
      <c r="H146" s="70">
        <v>0.5</v>
      </c>
      <c r="I146" s="70">
        <v>0.5</v>
      </c>
      <c r="J146" s="70"/>
      <c r="K146" s="72">
        <v>26.29</v>
      </c>
      <c r="L146" s="73">
        <v>26.24</v>
      </c>
      <c r="M146" s="81"/>
      <c r="N146" s="82" t="s">
        <v>88</v>
      </c>
      <c r="O146" s="67"/>
      <c r="P146" s="75" t="s">
        <v>88</v>
      </c>
      <c r="Q146" s="83" t="s">
        <v>93</v>
      </c>
      <c r="R146" s="63">
        <v>36.6</v>
      </c>
      <c r="S146" s="64">
        <f t="shared" si="14"/>
        <v>13.661661123615636</v>
      </c>
      <c r="T146" s="143">
        <v>3</v>
      </c>
      <c r="U146" s="143"/>
      <c r="V146" s="265">
        <v>134</v>
      </c>
      <c r="W146" s="249">
        <f t="shared" si="17"/>
        <v>0</v>
      </c>
      <c r="X146" s="143">
        <f t="shared" si="15"/>
        <v>0</v>
      </c>
      <c r="Y146" s="143">
        <f>IF(OR(K146&gt;Cuts!$B$16, L146&gt;Cuts!B$16), 1,0)</f>
        <v>0</v>
      </c>
      <c r="Z146" s="246">
        <f>IF(OR(C146&gt;Cuts!$C$16, D146&gt;Cuts!$C$16),1,0)</f>
        <v>0</v>
      </c>
      <c r="AA146" s="306">
        <f t="shared" si="16"/>
        <v>1</v>
      </c>
      <c r="AB146" s="792" t="s">
        <v>632</v>
      </c>
      <c r="AC146" s="52"/>
      <c r="AD146" s="52"/>
      <c r="AE146" s="57"/>
      <c r="AF146" s="57"/>
      <c r="AG146" s="57"/>
      <c r="AH146" s="57"/>
    </row>
    <row r="147" spans="1:34">
      <c r="A147" s="78">
        <v>135</v>
      </c>
      <c r="B147" s="67"/>
      <c r="C147" s="68">
        <v>204</v>
      </c>
      <c r="D147" s="69">
        <v>204</v>
      </c>
      <c r="E147" s="70">
        <v>0.51</v>
      </c>
      <c r="F147" s="70">
        <v>0.51</v>
      </c>
      <c r="G147" s="70">
        <v>0.51</v>
      </c>
      <c r="H147" s="70">
        <v>0.51</v>
      </c>
      <c r="I147" s="70">
        <v>0.5</v>
      </c>
      <c r="J147" s="70"/>
      <c r="K147" s="72">
        <v>26.22</v>
      </c>
      <c r="L147" s="73">
        <v>26.4</v>
      </c>
      <c r="M147" s="81" t="s">
        <v>89</v>
      </c>
      <c r="N147" s="82" t="s">
        <v>88</v>
      </c>
      <c r="O147" s="67" t="s">
        <v>89</v>
      </c>
      <c r="P147" s="75"/>
      <c r="Q147" s="83" t="s">
        <v>93</v>
      </c>
      <c r="R147" s="63">
        <v>36.6</v>
      </c>
      <c r="S147" s="64">
        <f t="shared" si="14"/>
        <v>13.423518250439367</v>
      </c>
      <c r="T147" s="143">
        <v>3</v>
      </c>
      <c r="U147" s="143"/>
      <c r="V147" s="225">
        <v>135</v>
      </c>
      <c r="W147" s="249">
        <f t="shared" si="17"/>
        <v>1.0000000000000009E-2</v>
      </c>
      <c r="X147" s="143">
        <f t="shared" si="15"/>
        <v>0</v>
      </c>
      <c r="Y147" s="143">
        <f>IF(OR(K147&gt;Cuts!$B$16, L147&gt;Cuts!B$16), 1,0)</f>
        <v>0</v>
      </c>
      <c r="Z147" s="246">
        <f>IF(OR(C147&gt;Cuts!$C$16, D147&gt;Cuts!$C$16),1,0)</f>
        <v>0</v>
      </c>
      <c r="AA147" s="306">
        <f t="shared" si="16"/>
        <v>1</v>
      </c>
      <c r="AB147" s="793"/>
      <c r="AC147" s="52"/>
      <c r="AD147" s="52"/>
      <c r="AE147" s="57"/>
      <c r="AF147" s="57"/>
      <c r="AG147" s="57"/>
      <c r="AH147" s="57"/>
    </row>
    <row r="148" spans="1:34">
      <c r="A148" s="78">
        <v>136</v>
      </c>
      <c r="B148" s="67"/>
      <c r="C148" s="68">
        <v>204</v>
      </c>
      <c r="D148" s="69">
        <v>204</v>
      </c>
      <c r="E148" s="70">
        <v>0.49</v>
      </c>
      <c r="F148" s="70">
        <v>0.49</v>
      </c>
      <c r="G148" s="70">
        <v>0.49</v>
      </c>
      <c r="H148" s="70">
        <v>0.5</v>
      </c>
      <c r="I148" s="70">
        <v>0.5</v>
      </c>
      <c r="J148" s="70"/>
      <c r="K148" s="72">
        <v>26.5</v>
      </c>
      <c r="L148" s="73">
        <v>26.2</v>
      </c>
      <c r="M148" s="81" t="s">
        <v>89</v>
      </c>
      <c r="N148" s="82"/>
      <c r="O148" s="67"/>
      <c r="P148" s="75" t="s">
        <v>89</v>
      </c>
      <c r="Q148" s="83" t="s">
        <v>93</v>
      </c>
      <c r="R148" s="63">
        <v>36</v>
      </c>
      <c r="S148" s="64">
        <f t="shared" si="14"/>
        <v>13.557036486052297</v>
      </c>
      <c r="T148" s="143">
        <v>3</v>
      </c>
      <c r="U148" s="143"/>
      <c r="V148" s="225">
        <v>136</v>
      </c>
      <c r="W148" s="249">
        <f t="shared" si="17"/>
        <v>1.0000000000000009E-2</v>
      </c>
      <c r="X148" s="143">
        <f t="shared" si="15"/>
        <v>0</v>
      </c>
      <c r="Y148" s="143">
        <f>IF(OR(K148&gt;Cuts!$B$16, L148&gt;Cuts!B$16), 1,0)</f>
        <v>0</v>
      </c>
      <c r="Z148" s="246">
        <f>IF(OR(C148&gt;Cuts!$C$16, D148&gt;Cuts!$C$16),1,0)</f>
        <v>0</v>
      </c>
      <c r="AA148" s="306">
        <f t="shared" si="16"/>
        <v>0</v>
      </c>
      <c r="AB148" s="793"/>
      <c r="AC148" s="52"/>
      <c r="AD148" s="52"/>
      <c r="AE148" s="57"/>
      <c r="AF148" s="57"/>
      <c r="AG148" s="57"/>
      <c r="AH148" s="57"/>
    </row>
    <row r="149" spans="1:34">
      <c r="A149" s="171">
        <v>137</v>
      </c>
      <c r="B149" s="67"/>
      <c r="C149" s="68">
        <v>204</v>
      </c>
      <c r="D149" s="69">
        <v>204</v>
      </c>
      <c r="E149" s="70">
        <v>0.5</v>
      </c>
      <c r="F149" s="70">
        <v>0.5</v>
      </c>
      <c r="G149" s="70">
        <v>0.51</v>
      </c>
      <c r="H149" s="70">
        <v>0.51</v>
      </c>
      <c r="I149" s="70">
        <v>0.51</v>
      </c>
      <c r="J149" s="70"/>
      <c r="K149" s="72">
        <v>26.4</v>
      </c>
      <c r="L149" s="73">
        <v>26.23</v>
      </c>
      <c r="M149" s="81"/>
      <c r="N149" s="82"/>
      <c r="O149" s="67" t="s">
        <v>88</v>
      </c>
      <c r="P149" s="75" t="s">
        <v>88</v>
      </c>
      <c r="Q149" s="84" t="s">
        <v>96</v>
      </c>
      <c r="R149" s="63">
        <v>36.6</v>
      </c>
      <c r="S149" s="64">
        <f t="shared" si="14"/>
        <v>13.474015008639054</v>
      </c>
      <c r="T149" s="143">
        <v>3</v>
      </c>
      <c r="U149" s="143"/>
      <c r="V149" s="265">
        <v>137</v>
      </c>
      <c r="W149" s="249">
        <f t="shared" si="17"/>
        <v>1.0000000000000009E-2</v>
      </c>
      <c r="X149" s="143">
        <f t="shared" si="15"/>
        <v>0</v>
      </c>
      <c r="Y149" s="143">
        <f>IF(OR(K149&gt;Cuts!$B$16, L149&gt;Cuts!B$16), 1,0)</f>
        <v>0</v>
      </c>
      <c r="Z149" s="246">
        <f>IF(OR(C149&gt;Cuts!$C$16, D149&gt;Cuts!$C$16),1,0)</f>
        <v>0</v>
      </c>
      <c r="AA149" s="306">
        <f t="shared" si="16"/>
        <v>1</v>
      </c>
      <c r="AB149" s="792" t="s">
        <v>632</v>
      </c>
      <c r="AC149" s="52"/>
      <c r="AD149" s="52"/>
      <c r="AE149" s="57"/>
      <c r="AF149" s="57"/>
      <c r="AG149" s="57"/>
      <c r="AH149" s="57"/>
    </row>
    <row r="150" spans="1:34">
      <c r="A150" s="78">
        <v>138</v>
      </c>
      <c r="B150" s="67"/>
      <c r="C150" s="68">
        <v>204</v>
      </c>
      <c r="D150" s="69">
        <v>204</v>
      </c>
      <c r="E150" s="70">
        <v>0.5</v>
      </c>
      <c r="F150" s="70">
        <v>0.5</v>
      </c>
      <c r="G150" s="70">
        <v>0.5</v>
      </c>
      <c r="H150" s="70">
        <v>0.5</v>
      </c>
      <c r="I150" s="70">
        <v>0.5</v>
      </c>
      <c r="J150" s="70"/>
      <c r="K150" s="72">
        <v>26.25</v>
      </c>
      <c r="L150" s="73">
        <v>26.4</v>
      </c>
      <c r="M150" s="81"/>
      <c r="N150" s="82"/>
      <c r="O150" s="67" t="s">
        <v>89</v>
      </c>
      <c r="P150" s="75" t="s">
        <v>89</v>
      </c>
      <c r="Q150" s="83" t="s">
        <v>93</v>
      </c>
      <c r="R150" s="63">
        <v>36.6</v>
      </c>
      <c r="S150" s="64">
        <f t="shared" si="14"/>
        <v>13.630523434445003</v>
      </c>
      <c r="T150" s="143">
        <v>3</v>
      </c>
      <c r="U150" s="143"/>
      <c r="V150" s="225">
        <v>138</v>
      </c>
      <c r="W150" s="249">
        <f t="shared" si="17"/>
        <v>0</v>
      </c>
      <c r="X150" s="143">
        <f t="shared" si="15"/>
        <v>0</v>
      </c>
      <c r="Y150" s="143">
        <f>IF(OR(K150&gt;Cuts!$B$16, L150&gt;Cuts!B$16), 1,0)</f>
        <v>0</v>
      </c>
      <c r="Z150" s="246">
        <f>IF(OR(C150&gt;Cuts!$C$16, D150&gt;Cuts!$C$16),1,0)</f>
        <v>0</v>
      </c>
      <c r="AA150" s="306">
        <f t="shared" si="16"/>
        <v>0</v>
      </c>
      <c r="AB150" s="793"/>
      <c r="AC150" s="52"/>
      <c r="AD150" s="52"/>
      <c r="AE150" s="57"/>
      <c r="AF150" s="57"/>
      <c r="AG150" s="57"/>
      <c r="AH150" s="57"/>
    </row>
    <row r="151" spans="1:34">
      <c r="A151" s="78">
        <v>139</v>
      </c>
      <c r="B151" s="67" t="s">
        <v>217</v>
      </c>
      <c r="C151" s="68">
        <v>204</v>
      </c>
      <c r="D151" s="69">
        <v>204</v>
      </c>
      <c r="E151" s="70">
        <v>0.49</v>
      </c>
      <c r="F151" s="70">
        <v>0.49</v>
      </c>
      <c r="G151" s="70">
        <v>0.49</v>
      </c>
      <c r="H151" s="70">
        <v>0.5</v>
      </c>
      <c r="I151" s="70">
        <v>0.5</v>
      </c>
      <c r="J151" s="70"/>
      <c r="K151" s="72">
        <v>26.25</v>
      </c>
      <c r="L151" s="73">
        <v>26.27</v>
      </c>
      <c r="M151" s="81"/>
      <c r="N151" s="82"/>
      <c r="O151" s="67"/>
      <c r="P151" s="75"/>
      <c r="Q151" s="84"/>
      <c r="R151" s="63">
        <v>36</v>
      </c>
      <c r="S151" s="64">
        <f t="shared" si="14"/>
        <v>13.603500053597793</v>
      </c>
      <c r="T151" s="143">
        <v>3</v>
      </c>
      <c r="U151" s="143"/>
      <c r="V151" s="225">
        <v>139</v>
      </c>
      <c r="W151" s="249">
        <f t="shared" si="17"/>
        <v>1.0000000000000009E-2</v>
      </c>
      <c r="X151" s="143">
        <f t="shared" si="15"/>
        <v>0</v>
      </c>
      <c r="Y151" s="143">
        <f>IF(OR(K151&gt;Cuts!$B$16, L151&gt;Cuts!B$16), 1,0)</f>
        <v>0</v>
      </c>
      <c r="Z151" s="246">
        <f>IF(OR(C151&gt;Cuts!$C$16, D151&gt;Cuts!$C$16),1,0)</f>
        <v>0</v>
      </c>
      <c r="AA151" s="306">
        <f t="shared" si="16"/>
        <v>0</v>
      </c>
      <c r="AB151" s="793"/>
      <c r="AC151" s="52"/>
      <c r="AD151" s="52"/>
      <c r="AE151" s="57"/>
      <c r="AF151" s="57"/>
      <c r="AG151" s="57"/>
      <c r="AH151" s="57"/>
    </row>
    <row r="152" spans="1:34">
      <c r="A152" s="78">
        <v>140</v>
      </c>
      <c r="B152" s="67"/>
      <c r="C152" s="68">
        <v>204</v>
      </c>
      <c r="D152" s="69">
        <v>204</v>
      </c>
      <c r="E152" s="70">
        <v>0.51</v>
      </c>
      <c r="F152" s="70">
        <v>0.51</v>
      </c>
      <c r="G152" s="70">
        <v>0.51</v>
      </c>
      <c r="H152" s="70">
        <v>0.51</v>
      </c>
      <c r="I152" s="70">
        <v>0.51</v>
      </c>
      <c r="J152" s="70"/>
      <c r="K152" s="72">
        <v>26.23</v>
      </c>
      <c r="L152" s="73">
        <v>26.49</v>
      </c>
      <c r="M152" s="81"/>
      <c r="N152" s="82"/>
      <c r="O152" s="67"/>
      <c r="P152" s="75"/>
      <c r="Q152" s="84"/>
      <c r="R152" s="63">
        <v>37</v>
      </c>
      <c r="S152" s="64">
        <f t="shared" si="14"/>
        <v>13.491367566694029</v>
      </c>
      <c r="T152" s="143">
        <v>3</v>
      </c>
      <c r="U152" s="143"/>
      <c r="V152" s="225">
        <v>140</v>
      </c>
      <c r="W152" s="249">
        <f t="shared" si="17"/>
        <v>0</v>
      </c>
      <c r="X152" s="143">
        <f t="shared" si="15"/>
        <v>0</v>
      </c>
      <c r="Y152" s="143">
        <f>IF(OR(K152&gt;Cuts!$B$16, L152&gt;Cuts!B$16), 1,0)</f>
        <v>0</v>
      </c>
      <c r="Z152" s="246">
        <f>IF(OR(C152&gt;Cuts!$C$16, D152&gt;Cuts!$C$16),1,0)</f>
        <v>0</v>
      </c>
      <c r="AA152" s="306">
        <f t="shared" si="16"/>
        <v>0</v>
      </c>
      <c r="AB152" s="793"/>
      <c r="AC152" s="52"/>
      <c r="AD152" s="52"/>
      <c r="AE152" s="57"/>
      <c r="AF152" s="57"/>
      <c r="AG152" s="57"/>
      <c r="AH152" s="57"/>
    </row>
    <row r="153" spans="1:34">
      <c r="A153" s="171">
        <v>141</v>
      </c>
      <c r="B153" s="67"/>
      <c r="C153" s="68">
        <v>204</v>
      </c>
      <c r="D153" s="69">
        <v>204</v>
      </c>
      <c r="E153" s="786">
        <v>0.51</v>
      </c>
      <c r="F153" s="786">
        <v>0.51</v>
      </c>
      <c r="G153" s="786">
        <v>0.51</v>
      </c>
      <c r="H153" s="786">
        <v>0.5</v>
      </c>
      <c r="I153" s="786">
        <v>0.49</v>
      </c>
      <c r="J153" s="18"/>
      <c r="K153" s="72">
        <v>26.25</v>
      </c>
      <c r="L153" s="73">
        <v>26.5</v>
      </c>
      <c r="M153" s="81"/>
      <c r="N153" s="82"/>
      <c r="O153" s="67"/>
      <c r="P153" s="75" t="s">
        <v>89</v>
      </c>
      <c r="Q153" s="84"/>
      <c r="R153" s="63">
        <v>36.5</v>
      </c>
      <c r="S153" s="64">
        <f t="shared" si="14"/>
        <v>13.459833643831413</v>
      </c>
      <c r="T153" s="143">
        <v>3</v>
      </c>
      <c r="U153" s="143"/>
      <c r="V153" s="225">
        <v>141</v>
      </c>
      <c r="W153" s="249">
        <f t="shared" si="17"/>
        <v>2.0000000000000018E-2</v>
      </c>
      <c r="X153" s="143">
        <f t="shared" si="15"/>
        <v>0</v>
      </c>
      <c r="Y153" s="143">
        <f>IF(OR(K153&gt;Cuts!$B$16, L153&gt;Cuts!B$16), 1,0)</f>
        <v>0</v>
      </c>
      <c r="Z153" s="246">
        <f>IF(OR(C153&gt;Cuts!$C$16, D153&gt;Cuts!$C$16),1,0)</f>
        <v>0</v>
      </c>
      <c r="AA153" s="306">
        <f t="shared" si="16"/>
        <v>0</v>
      </c>
      <c r="AB153" s="792" t="s">
        <v>631</v>
      </c>
      <c r="AC153" s="52">
        <v>0.51</v>
      </c>
      <c r="AD153" s="52">
        <v>0.49</v>
      </c>
      <c r="AE153" s="52">
        <v>0.5</v>
      </c>
      <c r="AF153" s="52">
        <v>0.49</v>
      </c>
      <c r="AG153" s="52">
        <v>0.5</v>
      </c>
      <c r="AH153" s="52">
        <v>0.48</v>
      </c>
    </row>
    <row r="154" spans="1:34">
      <c r="A154" s="171">
        <v>142</v>
      </c>
      <c r="B154" s="67" t="s">
        <v>218</v>
      </c>
      <c r="C154" s="68">
        <v>204</v>
      </c>
      <c r="D154" s="69">
        <v>204</v>
      </c>
      <c r="E154" s="786">
        <v>0.51</v>
      </c>
      <c r="F154" s="786">
        <v>0.51</v>
      </c>
      <c r="G154" s="786">
        <v>0.51</v>
      </c>
      <c r="H154" s="786">
        <v>0.51</v>
      </c>
      <c r="I154" s="786">
        <v>0.49</v>
      </c>
      <c r="J154" s="18"/>
      <c r="K154" s="72">
        <v>26.28</v>
      </c>
      <c r="L154" s="73">
        <v>26.39</v>
      </c>
      <c r="M154" s="81"/>
      <c r="N154" s="82" t="s">
        <v>89</v>
      </c>
      <c r="O154" s="67"/>
      <c r="P154" s="75"/>
      <c r="Q154" s="84"/>
      <c r="R154" s="63">
        <v>37</v>
      </c>
      <c r="S154" s="64">
        <f t="shared" si="14"/>
        <v>13.610927388115563</v>
      </c>
      <c r="T154" s="143">
        <v>3</v>
      </c>
      <c r="U154" s="143"/>
      <c r="V154" s="225">
        <v>142</v>
      </c>
      <c r="W154" s="249">
        <f t="shared" si="17"/>
        <v>2.0000000000000018E-2</v>
      </c>
      <c r="X154" s="143">
        <f t="shared" si="15"/>
        <v>0</v>
      </c>
      <c r="Y154" s="143">
        <f>IF(OR(K154&gt;Cuts!$B$16, L154&gt;Cuts!B$16), 1,0)</f>
        <v>0</v>
      </c>
      <c r="Z154" s="246">
        <f>IF(OR(C154&gt;Cuts!$C$16, D154&gt;Cuts!$C$16),1,0)</f>
        <v>0</v>
      </c>
      <c r="AA154" s="306">
        <f t="shared" si="16"/>
        <v>0</v>
      </c>
      <c r="AB154" s="792" t="s">
        <v>631</v>
      </c>
      <c r="AC154" s="52">
        <v>0.51</v>
      </c>
      <c r="AD154" s="52">
        <v>0.51</v>
      </c>
      <c r="AE154" s="52">
        <v>0.51</v>
      </c>
      <c r="AF154" s="52">
        <v>0.51</v>
      </c>
      <c r="AG154" s="52">
        <v>0.5</v>
      </c>
      <c r="AH154" s="52">
        <v>0.49</v>
      </c>
    </row>
    <row r="155" spans="1:34">
      <c r="A155" s="78">
        <v>143</v>
      </c>
      <c r="B155" s="67"/>
      <c r="C155" s="68">
        <v>204</v>
      </c>
      <c r="D155" s="69">
        <v>204</v>
      </c>
      <c r="E155" s="70">
        <v>0.51</v>
      </c>
      <c r="F155" s="70">
        <v>0.51</v>
      </c>
      <c r="G155" s="70">
        <v>0.51</v>
      </c>
      <c r="H155" s="70">
        <v>0.51</v>
      </c>
      <c r="I155" s="70">
        <v>0.5</v>
      </c>
      <c r="J155" s="70"/>
      <c r="K155" s="72">
        <v>26.2</v>
      </c>
      <c r="L155" s="73">
        <v>26.48</v>
      </c>
      <c r="M155" s="81" t="s">
        <v>89</v>
      </c>
      <c r="N155" s="82" t="s">
        <v>89</v>
      </c>
      <c r="O155" s="67"/>
      <c r="P155" s="75" t="s">
        <v>89</v>
      </c>
      <c r="Q155" s="84" t="s">
        <v>96</v>
      </c>
      <c r="R155" s="63">
        <v>36.700000000000003</v>
      </c>
      <c r="S155" s="64">
        <f t="shared" si="14"/>
        <v>13.444864012124439</v>
      </c>
      <c r="T155" s="143">
        <v>3</v>
      </c>
      <c r="U155" s="143"/>
      <c r="V155" s="225">
        <v>143</v>
      </c>
      <c r="W155" s="249">
        <f t="shared" si="17"/>
        <v>1.0000000000000009E-2</v>
      </c>
      <c r="X155" s="143">
        <f t="shared" si="15"/>
        <v>0</v>
      </c>
      <c r="Y155" s="143">
        <f>IF(OR(K155&gt;Cuts!$B$16, L155&gt;Cuts!B$16), 1,0)</f>
        <v>0</v>
      </c>
      <c r="Z155" s="246">
        <f>IF(OR(C155&gt;Cuts!$C$16, D155&gt;Cuts!$C$16),1,0)</f>
        <v>0</v>
      </c>
      <c r="AA155" s="306">
        <f t="shared" si="16"/>
        <v>0</v>
      </c>
      <c r="AB155" s="793"/>
      <c r="AC155" s="52"/>
      <c r="AD155" s="52"/>
      <c r="AE155" s="57"/>
      <c r="AF155" s="57"/>
      <c r="AG155" s="57"/>
      <c r="AH155" s="57"/>
    </row>
    <row r="156" spans="1:34">
      <c r="A156" s="78">
        <v>144</v>
      </c>
      <c r="B156" s="67"/>
      <c r="C156" s="68">
        <v>204</v>
      </c>
      <c r="D156" s="69">
        <v>204</v>
      </c>
      <c r="E156" s="70">
        <v>0.5</v>
      </c>
      <c r="F156" s="70">
        <v>0.5</v>
      </c>
      <c r="G156" s="70">
        <v>0.51</v>
      </c>
      <c r="H156" s="70">
        <v>0.5</v>
      </c>
      <c r="I156" s="70">
        <v>0.5</v>
      </c>
      <c r="J156" s="70"/>
      <c r="K156" s="72">
        <v>26.31</v>
      </c>
      <c r="L156" s="73">
        <v>26.08</v>
      </c>
      <c r="M156" s="81"/>
      <c r="N156" s="82" t="s">
        <v>89</v>
      </c>
      <c r="O156" s="67" t="s">
        <v>88</v>
      </c>
      <c r="P156" s="75" t="s">
        <v>89</v>
      </c>
      <c r="Q156" s="83" t="s">
        <v>93</v>
      </c>
      <c r="R156" s="63">
        <v>36.5</v>
      </c>
      <c r="S156" s="64">
        <f t="shared" si="14"/>
        <v>13.60631675454707</v>
      </c>
      <c r="T156" s="143">
        <v>3</v>
      </c>
      <c r="U156" s="143"/>
      <c r="V156" s="225">
        <v>144</v>
      </c>
      <c r="W156" s="249">
        <f t="shared" si="17"/>
        <v>1.0000000000000009E-2</v>
      </c>
      <c r="X156" s="143">
        <f t="shared" si="15"/>
        <v>0</v>
      </c>
      <c r="Y156" s="143">
        <f>IF(OR(K156&gt;Cuts!$B$16, L156&gt;Cuts!B$16), 1,0)</f>
        <v>0</v>
      </c>
      <c r="Z156" s="246">
        <f>IF(OR(C156&gt;Cuts!$C$16, D156&gt;Cuts!$C$16),1,0)</f>
        <v>0</v>
      </c>
      <c r="AA156" s="306">
        <f t="shared" si="16"/>
        <v>1</v>
      </c>
      <c r="AB156" s="793"/>
      <c r="AC156" s="52"/>
      <c r="AD156" s="52"/>
      <c r="AE156" s="57"/>
      <c r="AF156" s="57"/>
      <c r="AG156" s="57"/>
      <c r="AH156" s="57"/>
    </row>
    <row r="157" spans="1:34">
      <c r="A157" s="78">
        <v>145</v>
      </c>
      <c r="B157" s="67"/>
      <c r="C157" s="68">
        <v>204</v>
      </c>
      <c r="D157" s="69">
        <v>204</v>
      </c>
      <c r="E157" s="70">
        <v>0.5</v>
      </c>
      <c r="F157" s="70">
        <v>0.5</v>
      </c>
      <c r="G157" s="70">
        <v>0.5</v>
      </c>
      <c r="H157" s="70">
        <v>0.5</v>
      </c>
      <c r="I157" s="70">
        <v>0.5</v>
      </c>
      <c r="J157" s="70"/>
      <c r="K157" s="72">
        <v>26.13</v>
      </c>
      <c r="L157" s="73">
        <v>26.39</v>
      </c>
      <c r="M157" s="81" t="s">
        <v>89</v>
      </c>
      <c r="N157" s="82" t="s">
        <v>89</v>
      </c>
      <c r="O157" s="67"/>
      <c r="P157" s="75"/>
      <c r="Q157" s="84"/>
      <c r="R157" s="63">
        <v>36.5</v>
      </c>
      <c r="S157" s="64">
        <f t="shared" si="14"/>
        <v>13.626928303690097</v>
      </c>
      <c r="T157" s="143">
        <v>3</v>
      </c>
      <c r="U157" s="143"/>
      <c r="V157" s="225">
        <v>145</v>
      </c>
      <c r="W157" s="249">
        <f t="shared" si="17"/>
        <v>0</v>
      </c>
      <c r="X157" s="143">
        <f t="shared" si="15"/>
        <v>0</v>
      </c>
      <c r="Y157" s="143">
        <f>IF(OR(K157&gt;Cuts!$B$16, L157&gt;Cuts!B$16), 1,0)</f>
        <v>0</v>
      </c>
      <c r="Z157" s="246">
        <f>IF(OR(C157&gt;Cuts!$C$16, D157&gt;Cuts!$C$16),1,0)</f>
        <v>0</v>
      </c>
      <c r="AA157" s="306">
        <f t="shared" si="16"/>
        <v>0</v>
      </c>
      <c r="AB157" s="793"/>
      <c r="AC157" s="52"/>
      <c r="AD157" s="52"/>
      <c r="AE157" s="57"/>
      <c r="AF157" s="57"/>
      <c r="AG157" s="57"/>
      <c r="AH157" s="57"/>
    </row>
    <row r="158" spans="1:34">
      <c r="A158" s="78">
        <v>146</v>
      </c>
      <c r="B158" s="67"/>
      <c r="C158" s="68">
        <v>204</v>
      </c>
      <c r="D158" s="69">
        <v>204</v>
      </c>
      <c r="E158" s="70">
        <v>0.49</v>
      </c>
      <c r="F158" s="70">
        <v>0.49</v>
      </c>
      <c r="G158" s="70">
        <v>0.49</v>
      </c>
      <c r="H158" s="70">
        <v>0.49</v>
      </c>
      <c r="I158" s="70">
        <v>0.49</v>
      </c>
      <c r="J158" s="70"/>
      <c r="K158" s="72">
        <v>26.37</v>
      </c>
      <c r="L158" s="73">
        <v>26.22</v>
      </c>
      <c r="M158" s="81"/>
      <c r="N158" s="82" t="s">
        <v>89</v>
      </c>
      <c r="O158" s="67" t="s">
        <v>89</v>
      </c>
      <c r="P158" s="75"/>
      <c r="Q158" s="83" t="s">
        <v>93</v>
      </c>
      <c r="R158" s="63">
        <v>35.1</v>
      </c>
      <c r="S158" s="64">
        <f t="shared" si="14"/>
        <v>13.353886905589389</v>
      </c>
      <c r="T158" s="143">
        <v>3</v>
      </c>
      <c r="U158" s="143"/>
      <c r="V158" s="225">
        <v>146</v>
      </c>
      <c r="W158" s="249">
        <f t="shared" si="17"/>
        <v>0</v>
      </c>
      <c r="X158" s="143">
        <f t="shared" si="15"/>
        <v>0</v>
      </c>
      <c r="Y158" s="143">
        <f>IF(OR(K158&gt;Cuts!$B$16, L158&gt;Cuts!B$16), 1,0)</f>
        <v>0</v>
      </c>
      <c r="Z158" s="246">
        <f>IF(OR(C158&gt;Cuts!$C$16, D158&gt;Cuts!$C$16),1,0)</f>
        <v>0</v>
      </c>
      <c r="AA158" s="306">
        <f t="shared" si="16"/>
        <v>0</v>
      </c>
      <c r="AB158" s="793"/>
      <c r="AC158" s="52"/>
      <c r="AD158" s="52"/>
      <c r="AE158" s="57"/>
      <c r="AF158" s="57"/>
      <c r="AG158" s="57"/>
      <c r="AH158" s="57"/>
    </row>
    <row r="159" spans="1:34">
      <c r="A159" s="78">
        <v>147</v>
      </c>
      <c r="B159" s="67"/>
      <c r="C159" s="68">
        <v>204</v>
      </c>
      <c r="D159" s="69">
        <v>204</v>
      </c>
      <c r="E159" s="70">
        <v>0.51</v>
      </c>
      <c r="F159" s="70">
        <v>0.51</v>
      </c>
      <c r="G159" s="70">
        <v>0.51</v>
      </c>
      <c r="H159" s="70">
        <v>0.51</v>
      </c>
      <c r="I159" s="70">
        <v>0.5</v>
      </c>
      <c r="J159" s="70"/>
      <c r="K159" s="72">
        <v>26.11</v>
      </c>
      <c r="L159" s="73">
        <v>26.43</v>
      </c>
      <c r="M159" s="81" t="s">
        <v>89</v>
      </c>
      <c r="N159" s="82"/>
      <c r="O159" s="67"/>
      <c r="P159" s="75"/>
      <c r="Q159" s="84"/>
      <c r="R159" s="63">
        <v>36.700000000000003</v>
      </c>
      <c r="S159" s="64">
        <f t="shared" si="14"/>
        <v>13.480689687071099</v>
      </c>
      <c r="T159" s="143">
        <v>3</v>
      </c>
      <c r="U159" s="143"/>
      <c r="V159" s="225">
        <v>147</v>
      </c>
      <c r="W159" s="249">
        <f t="shared" si="17"/>
        <v>1.0000000000000009E-2</v>
      </c>
      <c r="X159" s="143">
        <f t="shared" si="15"/>
        <v>0</v>
      </c>
      <c r="Y159" s="143">
        <f>IF(OR(K159&gt;Cuts!$B$16, L159&gt;Cuts!B$16), 1,0)</f>
        <v>0</v>
      </c>
      <c r="Z159" s="246">
        <f>IF(OR(C159&gt;Cuts!$C$16, D159&gt;Cuts!$C$16),1,0)</f>
        <v>0</v>
      </c>
      <c r="AA159" s="306">
        <f t="shared" si="16"/>
        <v>0</v>
      </c>
      <c r="AB159" s="793"/>
      <c r="AC159" s="52"/>
      <c r="AD159" s="52"/>
      <c r="AE159" s="57"/>
      <c r="AF159" s="57"/>
      <c r="AG159" s="57"/>
      <c r="AH159" s="57"/>
    </row>
    <row r="160" spans="1:34">
      <c r="A160" s="78">
        <v>148</v>
      </c>
      <c r="B160" s="67"/>
      <c r="C160" s="68">
        <v>204</v>
      </c>
      <c r="D160" s="69">
        <v>204</v>
      </c>
      <c r="E160" s="70">
        <v>0.5</v>
      </c>
      <c r="F160" s="70">
        <v>0.5</v>
      </c>
      <c r="G160" s="70">
        <v>0.5</v>
      </c>
      <c r="H160" s="70">
        <v>0.5</v>
      </c>
      <c r="I160" s="70">
        <v>0.5</v>
      </c>
      <c r="J160" s="70"/>
      <c r="K160" s="72">
        <v>26.18</v>
      </c>
      <c r="L160" s="73">
        <v>26.44</v>
      </c>
      <c r="M160" s="81"/>
      <c r="N160" s="82"/>
      <c r="O160" s="67" t="s">
        <v>89</v>
      </c>
      <c r="P160" s="75"/>
      <c r="Q160" s="84"/>
      <c r="R160" s="63">
        <v>36</v>
      </c>
      <c r="S160" s="64">
        <f t="shared" si="14"/>
        <v>13.414715943389897</v>
      </c>
      <c r="T160" s="143">
        <v>3</v>
      </c>
      <c r="U160" s="143"/>
      <c r="V160" s="225">
        <v>148</v>
      </c>
      <c r="W160" s="249">
        <f t="shared" si="17"/>
        <v>0</v>
      </c>
      <c r="X160" s="143">
        <f t="shared" si="15"/>
        <v>0</v>
      </c>
      <c r="Y160" s="143">
        <f>IF(OR(K160&gt;Cuts!$B$16, L160&gt;Cuts!B$16), 1,0)</f>
        <v>0</v>
      </c>
      <c r="Z160" s="246">
        <f>IF(OR(C160&gt;Cuts!$C$16, D160&gt;Cuts!$C$16),1,0)</f>
        <v>0</v>
      </c>
      <c r="AA160" s="306">
        <f t="shared" si="16"/>
        <v>0</v>
      </c>
      <c r="AB160" s="793"/>
      <c r="AC160" s="52"/>
      <c r="AD160" s="52"/>
      <c r="AE160" s="57"/>
      <c r="AF160" s="57"/>
      <c r="AG160" s="57"/>
      <c r="AH160" s="57"/>
    </row>
    <row r="161" spans="1:34">
      <c r="A161" s="78">
        <v>149</v>
      </c>
      <c r="B161" s="67"/>
      <c r="C161" s="68">
        <v>204</v>
      </c>
      <c r="D161" s="69">
        <v>204</v>
      </c>
      <c r="E161" s="70">
        <v>0.51</v>
      </c>
      <c r="F161" s="70">
        <v>0.51</v>
      </c>
      <c r="G161" s="70">
        <v>0.51</v>
      </c>
      <c r="H161" s="70">
        <v>0.51</v>
      </c>
      <c r="I161" s="70">
        <v>0.51</v>
      </c>
      <c r="J161" s="70"/>
      <c r="K161" s="72">
        <v>26.12</v>
      </c>
      <c r="L161" s="73">
        <v>26.13</v>
      </c>
      <c r="M161" s="81"/>
      <c r="N161" s="82"/>
      <c r="O161" s="67" t="s">
        <v>88</v>
      </c>
      <c r="P161" s="75" t="s">
        <v>89</v>
      </c>
      <c r="Q161" s="83" t="s">
        <v>93</v>
      </c>
      <c r="R161" s="63">
        <v>36.299999999999997</v>
      </c>
      <c r="S161" s="64">
        <f t="shared" si="14"/>
        <v>13.355187276148849</v>
      </c>
      <c r="T161" s="143">
        <v>3</v>
      </c>
      <c r="U161" s="143"/>
      <c r="V161" s="225">
        <v>149</v>
      </c>
      <c r="W161" s="249">
        <f t="shared" si="17"/>
        <v>0</v>
      </c>
      <c r="X161" s="143">
        <f t="shared" si="15"/>
        <v>0</v>
      </c>
      <c r="Y161" s="143">
        <f>IF(OR(K161&gt;Cuts!$B$16, L161&gt;Cuts!B$16), 1,0)</f>
        <v>0</v>
      </c>
      <c r="Z161" s="246">
        <f>IF(OR(C161&gt;Cuts!$C$16, D161&gt;Cuts!$C$16),1,0)</f>
        <v>0</v>
      </c>
      <c r="AA161" s="306">
        <f t="shared" si="16"/>
        <v>1</v>
      </c>
      <c r="AB161" s="793"/>
      <c r="AC161" s="52"/>
      <c r="AD161" s="52"/>
      <c r="AE161" s="57"/>
      <c r="AF161" s="57"/>
      <c r="AG161" s="57"/>
      <c r="AH161" s="57"/>
    </row>
    <row r="162" spans="1:34">
      <c r="A162" s="78">
        <v>150</v>
      </c>
      <c r="B162" s="67"/>
      <c r="C162" s="68">
        <v>204</v>
      </c>
      <c r="D162" s="69">
        <v>204</v>
      </c>
      <c r="E162" s="70">
        <v>0.48</v>
      </c>
      <c r="F162" s="70">
        <v>0.48</v>
      </c>
      <c r="G162" s="70">
        <v>0.49</v>
      </c>
      <c r="H162" s="70">
        <v>0.49</v>
      </c>
      <c r="I162" s="70">
        <v>0.49</v>
      </c>
      <c r="J162" s="70"/>
      <c r="K162" s="72">
        <v>26.33</v>
      </c>
      <c r="L162" s="73">
        <v>26.26</v>
      </c>
      <c r="M162" s="81"/>
      <c r="N162" s="82"/>
      <c r="O162" s="67" t="s">
        <v>89</v>
      </c>
      <c r="P162" s="75"/>
      <c r="Q162" s="84"/>
      <c r="R162" s="63">
        <v>34.799999999999997</v>
      </c>
      <c r="S162" s="64">
        <f t="shared" si="14"/>
        <v>13.348720265092695</v>
      </c>
      <c r="T162" s="143">
        <v>3</v>
      </c>
      <c r="U162" s="143"/>
      <c r="V162" s="225">
        <v>150</v>
      </c>
      <c r="W162" s="249">
        <f t="shared" si="17"/>
        <v>1.0000000000000009E-2</v>
      </c>
      <c r="X162" s="143">
        <f t="shared" si="15"/>
        <v>0</v>
      </c>
      <c r="Y162" s="143">
        <f>IF(OR(K162&gt;Cuts!$B$16, L162&gt;Cuts!B$16), 1,0)</f>
        <v>0</v>
      </c>
      <c r="Z162" s="246">
        <f>IF(OR(C162&gt;Cuts!$C$16, D162&gt;Cuts!$C$16),1,0)</f>
        <v>0</v>
      </c>
      <c r="AA162" s="306">
        <f t="shared" si="16"/>
        <v>0</v>
      </c>
      <c r="AB162" s="793"/>
      <c r="AC162" s="52"/>
      <c r="AD162" s="52"/>
      <c r="AE162" s="57"/>
      <c r="AF162" s="57"/>
      <c r="AG162" s="57"/>
      <c r="AH162" s="57"/>
    </row>
    <row r="163" spans="1:34">
      <c r="A163" s="78">
        <v>151</v>
      </c>
      <c r="B163" s="67"/>
      <c r="C163" s="68">
        <v>204</v>
      </c>
      <c r="D163" s="69">
        <v>204</v>
      </c>
      <c r="E163" s="70">
        <v>0.5</v>
      </c>
      <c r="F163" s="70">
        <v>0.5</v>
      </c>
      <c r="G163" s="70">
        <v>0.51</v>
      </c>
      <c r="H163" s="70">
        <v>0.51</v>
      </c>
      <c r="I163" s="70">
        <v>0.51</v>
      </c>
      <c r="J163" s="70"/>
      <c r="K163" s="72">
        <v>26.3</v>
      </c>
      <c r="L163" s="73">
        <v>26.23</v>
      </c>
      <c r="M163" s="81"/>
      <c r="N163" s="82" t="s">
        <v>88</v>
      </c>
      <c r="O163" s="67"/>
      <c r="P163" s="75"/>
      <c r="Q163" s="83" t="s">
        <v>93</v>
      </c>
      <c r="R163" s="63">
        <v>35.9</v>
      </c>
      <c r="S163" s="64">
        <f t="shared" si="14"/>
        <v>13.241474824990854</v>
      </c>
      <c r="T163" s="143">
        <v>3</v>
      </c>
      <c r="U163" s="143"/>
      <c r="V163" s="225">
        <v>151</v>
      </c>
      <c r="W163" s="249">
        <f t="shared" si="17"/>
        <v>1.0000000000000009E-2</v>
      </c>
      <c r="X163" s="143">
        <f t="shared" si="15"/>
        <v>0</v>
      </c>
      <c r="Y163" s="143">
        <f>IF(OR(K163&gt;Cuts!$B$16, L163&gt;Cuts!B$16), 1,0)</f>
        <v>0</v>
      </c>
      <c r="Z163" s="246">
        <f>IF(OR(C163&gt;Cuts!$C$16, D163&gt;Cuts!$C$16),1,0)</f>
        <v>0</v>
      </c>
      <c r="AA163" s="306">
        <f t="shared" si="16"/>
        <v>1</v>
      </c>
      <c r="AB163" s="793"/>
      <c r="AC163" s="52"/>
      <c r="AD163" s="52"/>
      <c r="AE163" s="57"/>
      <c r="AF163" s="57"/>
      <c r="AG163" s="57"/>
      <c r="AH163" s="57"/>
    </row>
    <row r="164" spans="1:34">
      <c r="A164" s="78">
        <v>152</v>
      </c>
      <c r="B164" s="67"/>
      <c r="C164" s="68">
        <v>204</v>
      </c>
      <c r="D164" s="69">
        <v>204</v>
      </c>
      <c r="E164" s="70">
        <v>0.51</v>
      </c>
      <c r="F164" s="70">
        <v>0.51</v>
      </c>
      <c r="G164" s="70">
        <v>0.51</v>
      </c>
      <c r="H164" s="70">
        <v>0.51</v>
      </c>
      <c r="I164" s="70">
        <v>0.51</v>
      </c>
      <c r="J164" s="70"/>
      <c r="K164" s="72">
        <v>26.3</v>
      </c>
      <c r="L164" s="73">
        <v>26.16</v>
      </c>
      <c r="M164" s="81"/>
      <c r="N164" s="82" t="s">
        <v>89</v>
      </c>
      <c r="O164" s="67" t="s">
        <v>88</v>
      </c>
      <c r="P164" s="75"/>
      <c r="Q164" s="83" t="s">
        <v>94</v>
      </c>
      <c r="R164" s="63">
        <v>36.4</v>
      </c>
      <c r="S164" s="64">
        <f t="shared" si="14"/>
        <v>13.338369667198883</v>
      </c>
      <c r="T164" s="143">
        <v>3</v>
      </c>
      <c r="U164" s="143"/>
      <c r="V164" s="225">
        <v>152</v>
      </c>
      <c r="W164" s="249">
        <f t="shared" si="17"/>
        <v>0</v>
      </c>
      <c r="X164" s="143">
        <f t="shared" si="15"/>
        <v>0</v>
      </c>
      <c r="Y164" s="143">
        <f>IF(OR(K164&gt;Cuts!$B$16, L164&gt;Cuts!B$16), 1,0)</f>
        <v>0</v>
      </c>
      <c r="Z164" s="246">
        <f>IF(OR(C164&gt;Cuts!$C$16, D164&gt;Cuts!$C$16),1,0)</f>
        <v>0</v>
      </c>
      <c r="AA164" s="306">
        <f t="shared" si="16"/>
        <v>1</v>
      </c>
      <c r="AB164" s="793"/>
      <c r="AC164" s="52"/>
      <c r="AD164" s="52"/>
      <c r="AE164" s="57"/>
      <c r="AF164" s="57"/>
      <c r="AG164" s="57"/>
      <c r="AH164" s="57"/>
    </row>
    <row r="165" spans="1:34">
      <c r="A165" s="78">
        <v>153</v>
      </c>
      <c r="B165" s="67"/>
      <c r="C165" s="86">
        <v>204</v>
      </c>
      <c r="D165" s="87">
        <v>204</v>
      </c>
      <c r="E165" s="70">
        <v>0.51</v>
      </c>
      <c r="F165" s="70">
        <v>0.51</v>
      </c>
      <c r="G165" s="70">
        <v>0.51</v>
      </c>
      <c r="H165" s="70">
        <v>0.51</v>
      </c>
      <c r="I165" s="70">
        <v>0.51</v>
      </c>
      <c r="J165" s="70"/>
      <c r="K165" s="88">
        <v>26.42</v>
      </c>
      <c r="L165" s="89">
        <v>26.22</v>
      </c>
      <c r="M165" s="90"/>
      <c r="N165" s="91" t="s">
        <v>88</v>
      </c>
      <c r="O165" s="92"/>
      <c r="P165" s="93"/>
      <c r="Q165" s="94"/>
      <c r="R165" s="95">
        <v>37</v>
      </c>
      <c r="S165" s="96">
        <f t="shared" si="14"/>
        <v>13.511871164819702</v>
      </c>
      <c r="T165" s="152">
        <v>3</v>
      </c>
      <c r="U165" s="152"/>
      <c r="V165" s="252">
        <v>153</v>
      </c>
      <c r="W165" s="251">
        <f t="shared" si="17"/>
        <v>0</v>
      </c>
      <c r="X165" s="152">
        <f t="shared" si="15"/>
        <v>0</v>
      </c>
      <c r="Y165" s="152">
        <f>IF(OR(K165&gt;Cuts!$B$16, L165&gt;Cuts!B$16), 1,0)</f>
        <v>0</v>
      </c>
      <c r="Z165" s="248">
        <f>IF(OR(C165&gt;Cuts!$C$16, D165&gt;Cuts!$C$16),1,0)</f>
        <v>0</v>
      </c>
      <c r="AA165" s="307">
        <f t="shared" si="16"/>
        <v>1</v>
      </c>
      <c r="AB165" s="793"/>
      <c r="AC165" s="52"/>
      <c r="AD165" s="52"/>
      <c r="AE165" s="57"/>
      <c r="AF165" s="57"/>
      <c r="AG165" s="57"/>
      <c r="AH165" s="57"/>
    </row>
    <row r="166" spans="1:34" s="31" customFormat="1">
      <c r="A166" s="97"/>
      <c r="B166" s="97"/>
      <c r="C166" s="97"/>
      <c r="D166" s="97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>
        <f>SUM(X12:X165)</f>
        <v>0</v>
      </c>
      <c r="Y166" s="97">
        <f>SUM(Y12:Y165)</f>
        <v>1</v>
      </c>
      <c r="Z166" s="97">
        <f>SUM(Z12:Z165)</f>
        <v>0</v>
      </c>
      <c r="AA166" s="98">
        <f>SUM(AA13:AA165)</f>
        <v>39</v>
      </c>
      <c r="AB166" s="794"/>
      <c r="AC166" s="97"/>
      <c r="AD166" s="97"/>
      <c r="AE166" s="97"/>
      <c r="AF166" s="97"/>
      <c r="AG166" s="97"/>
      <c r="AH166" s="97"/>
    </row>
    <row r="167" spans="1:34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B167" s="795"/>
      <c r="AC167" s="57"/>
      <c r="AD167" s="57"/>
      <c r="AE167" s="57"/>
      <c r="AF167" s="57"/>
      <c r="AG167" s="57"/>
      <c r="AH167" s="57"/>
    </row>
    <row r="168" spans="1:34">
      <c r="A168" s="66" t="s">
        <v>114</v>
      </c>
      <c r="B168" s="57"/>
      <c r="C168" s="57" t="s">
        <v>132</v>
      </c>
      <c r="D168" s="57"/>
      <c r="E168" s="57" t="s">
        <v>133</v>
      </c>
      <c r="F168" s="57"/>
      <c r="G168" s="57"/>
      <c r="H168" s="57"/>
      <c r="I168" s="57"/>
      <c r="J168" s="57"/>
      <c r="K168" s="57" t="s">
        <v>130</v>
      </c>
      <c r="L168" s="57"/>
      <c r="M168" s="57"/>
      <c r="N168" s="57"/>
      <c r="O168" s="57"/>
      <c r="P168" s="57"/>
      <c r="Q168" s="57"/>
      <c r="R168" s="57" t="s">
        <v>134</v>
      </c>
      <c r="S168" s="57" t="s">
        <v>135</v>
      </c>
      <c r="T168" s="57"/>
      <c r="U168" s="57"/>
      <c r="V168" s="57"/>
      <c r="W168" s="57"/>
      <c r="X168" s="57"/>
      <c r="Y168" s="57"/>
      <c r="Z168" s="57"/>
      <c r="AB168" s="795"/>
      <c r="AC168" s="57"/>
      <c r="AD168" s="57"/>
      <c r="AE168" s="57"/>
      <c r="AF168" s="57"/>
      <c r="AG168" s="57"/>
      <c r="AH168" s="57"/>
    </row>
    <row r="169" spans="1:34">
      <c r="A169" s="66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B169" s="795"/>
      <c r="AC169" s="57"/>
      <c r="AD169" s="57"/>
      <c r="AE169" s="57"/>
      <c r="AF169" s="57"/>
      <c r="AG169" s="57"/>
      <c r="AH169" s="57"/>
    </row>
    <row r="170" spans="1:34">
      <c r="A170" s="57" t="s">
        <v>116</v>
      </c>
      <c r="B170" s="57"/>
      <c r="C170" s="57">
        <f>8*25.4</f>
        <v>203.2</v>
      </c>
      <c r="D170" s="57"/>
      <c r="E170" s="57">
        <f>C6</f>
        <v>0.50800000000000001</v>
      </c>
      <c r="F170" s="57"/>
      <c r="G170" s="57"/>
      <c r="H170" s="57"/>
      <c r="I170" s="57"/>
      <c r="J170" s="57"/>
      <c r="K170" s="102">
        <v>25.4</v>
      </c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B170" s="795"/>
      <c r="AC170" s="57"/>
      <c r="AD170" s="57"/>
      <c r="AE170" s="57"/>
      <c r="AF170" s="57"/>
      <c r="AG170" s="57"/>
      <c r="AH170" s="57"/>
    </row>
    <row r="171" spans="1:34">
      <c r="A171" s="57" t="s">
        <v>111</v>
      </c>
      <c r="B171" s="57"/>
      <c r="C171" s="57">
        <f>MODE(C12:D165)</f>
        <v>204</v>
      </c>
      <c r="D171" s="57"/>
      <c r="E171" s="57">
        <f>MODE(E12:J165)</f>
        <v>0.5</v>
      </c>
      <c r="F171" s="57"/>
      <c r="G171" s="57"/>
      <c r="H171" s="57"/>
      <c r="I171" s="57"/>
      <c r="J171" s="57"/>
      <c r="K171" s="57">
        <f>MODE(K12:L165)</f>
        <v>26.26</v>
      </c>
      <c r="L171" s="57"/>
      <c r="M171" s="57"/>
      <c r="N171" s="57"/>
      <c r="O171" s="57"/>
      <c r="P171" s="57"/>
      <c r="Q171" s="57"/>
      <c r="R171" s="57">
        <f>MODE(R12:R165)</f>
        <v>36.6</v>
      </c>
      <c r="S171" s="65">
        <f>MODE(S12:S165)</f>
        <v>13.511871164819702</v>
      </c>
      <c r="T171" s="57"/>
      <c r="U171" s="57"/>
      <c r="V171" s="57"/>
      <c r="W171" s="57"/>
      <c r="X171" s="57"/>
      <c r="Y171" s="57"/>
      <c r="Z171" s="57"/>
      <c r="AB171" s="795"/>
      <c r="AC171" s="57"/>
      <c r="AD171" s="57"/>
      <c r="AE171" s="57"/>
      <c r="AF171" s="57"/>
      <c r="AG171" s="57"/>
      <c r="AH171" s="57"/>
    </row>
    <row r="172" spans="1:34">
      <c r="A172" s="57" t="s">
        <v>110</v>
      </c>
      <c r="B172" s="57"/>
      <c r="C172" s="121">
        <f>AVERAGE(C12:D165)</f>
        <v>204</v>
      </c>
      <c r="D172" s="121"/>
      <c r="E172" s="65">
        <f>AVERAGE(E12:J165)</f>
        <v>0.50045454545454471</v>
      </c>
      <c r="F172" s="57"/>
      <c r="G172" s="57"/>
      <c r="H172" s="57"/>
      <c r="I172" s="57"/>
      <c r="J172" s="57"/>
      <c r="K172" s="153">
        <f>AVERAGE(K12:L165)</f>
        <v>26.268246753246746</v>
      </c>
      <c r="L172" s="57"/>
      <c r="M172" s="57"/>
      <c r="N172" s="57"/>
      <c r="O172" s="57"/>
      <c r="P172" s="57"/>
      <c r="Q172" s="57"/>
      <c r="R172" s="104">
        <f>AVERAGE(R12:R165)</f>
        <v>36.11038961038961</v>
      </c>
      <c r="S172" s="104">
        <f>AVERAGE(S12:S165)</f>
        <v>13.464579014221188</v>
      </c>
      <c r="T172" s="57"/>
      <c r="U172" s="57"/>
      <c r="V172" s="57"/>
      <c r="W172" s="57"/>
      <c r="X172" s="57"/>
      <c r="Y172" s="57"/>
      <c r="Z172" s="57"/>
      <c r="AB172" s="795"/>
      <c r="AC172" s="57"/>
      <c r="AD172" s="57"/>
      <c r="AE172" s="57"/>
      <c r="AF172" s="57"/>
      <c r="AG172" s="57"/>
      <c r="AH172" s="57"/>
    </row>
    <row r="173" spans="1:34">
      <c r="A173" s="57" t="s">
        <v>117</v>
      </c>
      <c r="B173" s="57"/>
      <c r="C173" s="57">
        <f>STDEV(C12:D165)</f>
        <v>0</v>
      </c>
      <c r="D173" s="57"/>
      <c r="E173" s="65">
        <f>STDEV(E12:J165)</f>
        <v>8.620062265449157E-3</v>
      </c>
      <c r="F173" s="57"/>
      <c r="G173" s="57"/>
      <c r="H173" s="57"/>
      <c r="I173" s="57"/>
      <c r="J173" s="57"/>
      <c r="K173" s="65">
        <f>STDEV(K12:L165)</f>
        <v>0.22642853239524341</v>
      </c>
      <c r="L173" s="57"/>
      <c r="M173" s="57"/>
      <c r="N173" s="57"/>
      <c r="O173" s="57"/>
      <c r="P173" s="57"/>
      <c r="Q173" s="57"/>
      <c r="R173" s="65">
        <f>STDEV(R12:R165)</f>
        <v>0.78225155434234572</v>
      </c>
      <c r="S173" s="65">
        <f>STDEV(S12:S165)</f>
        <v>0.1212295238178521</v>
      </c>
      <c r="T173" s="57"/>
      <c r="U173" s="57"/>
      <c r="V173" s="57"/>
      <c r="W173" s="57"/>
      <c r="X173" s="57"/>
      <c r="Y173" s="57"/>
      <c r="Z173" s="57"/>
      <c r="AB173" s="795"/>
      <c r="AC173" s="57"/>
      <c r="AD173" s="57"/>
      <c r="AE173" s="57"/>
      <c r="AF173" s="57"/>
      <c r="AG173" s="57"/>
      <c r="AH173" s="57"/>
    </row>
    <row r="174" spans="1:34">
      <c r="A174" s="154" t="s">
        <v>118</v>
      </c>
      <c r="B174" s="57"/>
      <c r="C174" s="121">
        <f>C172+C173</f>
        <v>204</v>
      </c>
      <c r="D174" s="57"/>
      <c r="E174" s="65">
        <f>E172+E173</f>
        <v>0.50907460771999391</v>
      </c>
      <c r="F174" s="57"/>
      <c r="G174" s="57"/>
      <c r="H174" s="57"/>
      <c r="I174" s="57"/>
      <c r="J174" s="57"/>
      <c r="K174" s="153">
        <f>K172+K173</f>
        <v>26.494675285641989</v>
      </c>
      <c r="L174" s="57"/>
      <c r="M174" s="57"/>
      <c r="N174" s="57"/>
      <c r="O174" s="57"/>
      <c r="P174" s="57"/>
      <c r="Q174" s="57"/>
      <c r="R174" s="65">
        <f>R172+R173</f>
        <v>36.892641164731955</v>
      </c>
      <c r="S174" s="104">
        <f>S172+S173</f>
        <v>13.585808538039041</v>
      </c>
      <c r="T174" s="57"/>
      <c r="U174" s="57"/>
      <c r="V174" s="57"/>
      <c r="W174" s="57"/>
      <c r="X174" s="57"/>
      <c r="Y174" s="57"/>
      <c r="Z174" s="57"/>
      <c r="AB174" s="795"/>
      <c r="AC174" s="57"/>
      <c r="AD174" s="57"/>
      <c r="AE174" s="57"/>
      <c r="AF174" s="57"/>
      <c r="AG174" s="57"/>
      <c r="AH174" s="57"/>
    </row>
    <row r="175" spans="1:34">
      <c r="A175" s="154" t="s">
        <v>119</v>
      </c>
      <c r="B175" s="57"/>
      <c r="C175" s="121">
        <f>C172-C173</f>
        <v>204</v>
      </c>
      <c r="D175" s="57"/>
      <c r="E175" s="65">
        <f>E172-E173</f>
        <v>0.49183448318909556</v>
      </c>
      <c r="F175" s="57"/>
      <c r="G175" s="57"/>
      <c r="H175" s="57"/>
      <c r="I175" s="57"/>
      <c r="J175" s="57"/>
      <c r="K175" s="153">
        <f>K172-K173</f>
        <v>26.041818220851503</v>
      </c>
      <c r="L175" s="57"/>
      <c r="M175" s="57"/>
      <c r="N175" s="57"/>
      <c r="O175" s="57"/>
      <c r="P175" s="57"/>
      <c r="Q175" s="57"/>
      <c r="R175" s="65">
        <f>R172-R173</f>
        <v>35.328138056047266</v>
      </c>
      <c r="S175" s="104">
        <f>S172-S173</f>
        <v>13.343349490403336</v>
      </c>
      <c r="T175" s="57"/>
      <c r="U175" s="57"/>
      <c r="V175" s="57"/>
      <c r="W175" s="57"/>
      <c r="X175" s="57"/>
      <c r="Y175" s="57"/>
      <c r="Z175" s="57"/>
      <c r="AB175" s="795"/>
      <c r="AC175" s="57"/>
      <c r="AD175" s="57"/>
      <c r="AE175" s="57"/>
      <c r="AF175" s="57"/>
      <c r="AG175" s="57"/>
      <c r="AH175" s="57"/>
    </row>
    <row r="176" spans="1:34">
      <c r="A176" s="154" t="s">
        <v>126</v>
      </c>
      <c r="B176" s="57"/>
      <c r="C176" s="65">
        <f>MAX(C12:D165)-C170</f>
        <v>0.80000000000001137</v>
      </c>
      <c r="D176" s="57"/>
      <c r="E176" s="65">
        <f>MAX(E12:I165)-E170</f>
        <v>1.2000000000000011E-2</v>
      </c>
      <c r="F176" s="57"/>
      <c r="G176" s="57"/>
      <c r="H176" s="57"/>
      <c r="I176" s="57"/>
      <c r="J176" s="57"/>
      <c r="K176" s="65">
        <f>MAX(K13:L165)-K170</f>
        <v>1.1000000000000014</v>
      </c>
      <c r="L176" s="764" t="s">
        <v>128</v>
      </c>
      <c r="M176" s="764"/>
      <c r="N176" s="764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B176" s="795"/>
      <c r="AC176" s="57"/>
      <c r="AD176" s="57"/>
      <c r="AE176" s="57"/>
      <c r="AF176" s="57"/>
      <c r="AG176" s="57"/>
      <c r="AH176" s="57"/>
    </row>
    <row r="177" spans="1:34">
      <c r="A177" s="154" t="s">
        <v>127</v>
      </c>
      <c r="B177" s="57"/>
      <c r="C177" s="65">
        <f>MIN(C12:D165)-C170</f>
        <v>0.80000000000001137</v>
      </c>
      <c r="D177" s="57"/>
      <c r="E177" s="65">
        <f>MIN(E12:I165)-E170</f>
        <v>-3.8000000000000034E-2</v>
      </c>
      <c r="F177" s="57"/>
      <c r="G177" s="57"/>
      <c r="H177" s="57"/>
      <c r="I177" s="57"/>
      <c r="J177" s="57"/>
      <c r="K177" s="65">
        <f>MIN(K12:L64)-K170</f>
        <v>0.63000000000000256</v>
      </c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B177" s="795"/>
      <c r="AC177" s="57"/>
      <c r="AD177" s="57"/>
      <c r="AE177" s="57"/>
      <c r="AF177" s="57"/>
      <c r="AG177" s="57"/>
      <c r="AH177" s="57"/>
    </row>
    <row r="178" spans="1:34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B178" s="795"/>
      <c r="AC178" s="57"/>
      <c r="AD178" s="57"/>
      <c r="AE178" s="57"/>
      <c r="AF178" s="57"/>
      <c r="AG178" s="57"/>
      <c r="AH178" s="57"/>
    </row>
    <row r="179" spans="1:34" ht="15.75" thickBot="1">
      <c r="A179" s="57" t="s">
        <v>146</v>
      </c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B179" s="795"/>
      <c r="AC179" s="57"/>
      <c r="AD179" s="57"/>
      <c r="AE179" s="57"/>
      <c r="AF179" s="57"/>
      <c r="AG179" s="57"/>
      <c r="AH179" s="57"/>
    </row>
    <row r="180" spans="1:34">
      <c r="A180" s="57">
        <v>0.46</v>
      </c>
      <c r="B180" s="57"/>
      <c r="C180" s="40" t="s">
        <v>147</v>
      </c>
      <c r="D180" s="40" t="s">
        <v>149</v>
      </c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B180" s="795"/>
      <c r="AC180" s="57"/>
      <c r="AD180" s="57"/>
      <c r="AE180" s="57"/>
      <c r="AF180" s="57"/>
      <c r="AG180" s="57"/>
      <c r="AH180" s="57"/>
    </row>
    <row r="181" spans="1:34">
      <c r="A181" s="57">
        <f>A180+0.01</f>
        <v>0.47000000000000003</v>
      </c>
      <c r="B181" s="57"/>
      <c r="C181" s="123">
        <v>0.46</v>
      </c>
      <c r="D181" s="124">
        <v>0</v>
      </c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B181" s="795"/>
      <c r="AC181" s="57"/>
      <c r="AD181" s="57"/>
      <c r="AE181" s="57"/>
      <c r="AF181" s="57"/>
      <c r="AG181" s="57"/>
      <c r="AH181" s="57"/>
    </row>
    <row r="182" spans="1:34">
      <c r="A182" s="57">
        <f t="shared" ref="A182:A186" si="18">A181+0.01</f>
        <v>0.48000000000000004</v>
      </c>
      <c r="B182" s="57"/>
      <c r="C182" s="123">
        <v>0.47000000000000003</v>
      </c>
      <c r="D182" s="124">
        <v>2</v>
      </c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B182" s="795"/>
      <c r="AC182" s="57"/>
      <c r="AD182" s="57"/>
      <c r="AE182" s="57"/>
      <c r="AF182" s="57"/>
      <c r="AG182" s="57"/>
      <c r="AH182" s="57"/>
    </row>
    <row r="183" spans="1:34">
      <c r="A183" s="57">
        <f t="shared" si="18"/>
        <v>0.49000000000000005</v>
      </c>
      <c r="B183" s="57"/>
      <c r="C183" s="123">
        <v>0.48000000000000004</v>
      </c>
      <c r="D183" s="124">
        <v>30</v>
      </c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B183" s="795"/>
      <c r="AC183" s="57"/>
      <c r="AD183" s="57"/>
      <c r="AE183" s="57"/>
      <c r="AF183" s="57"/>
      <c r="AG183" s="57"/>
      <c r="AH183" s="57"/>
    </row>
    <row r="184" spans="1:34">
      <c r="A184" s="57">
        <f t="shared" si="18"/>
        <v>0.5</v>
      </c>
      <c r="B184" s="57"/>
      <c r="C184" s="123">
        <v>0.49000000000000005</v>
      </c>
      <c r="D184" s="124">
        <v>152</v>
      </c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B184" s="795"/>
      <c r="AC184" s="57"/>
      <c r="AD184" s="57"/>
      <c r="AE184" s="57"/>
      <c r="AF184" s="57"/>
      <c r="AG184" s="57"/>
      <c r="AH184" s="57"/>
    </row>
    <row r="185" spans="1:34">
      <c r="A185" s="57">
        <f t="shared" si="18"/>
        <v>0.51</v>
      </c>
      <c r="B185" s="57"/>
      <c r="C185" s="123">
        <v>0.5</v>
      </c>
      <c r="D185" s="124">
        <v>348</v>
      </c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B185" s="795"/>
      <c r="AC185" s="57"/>
      <c r="AD185" s="57"/>
      <c r="AE185" s="57"/>
      <c r="AF185" s="57"/>
      <c r="AG185" s="57"/>
      <c r="AH185" s="57"/>
    </row>
    <row r="186" spans="1:34">
      <c r="A186" s="57">
        <f t="shared" si="18"/>
        <v>0.52</v>
      </c>
      <c r="B186" s="57"/>
      <c r="C186" s="123">
        <v>0.51</v>
      </c>
      <c r="D186" s="124">
        <v>223</v>
      </c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B186" s="795"/>
      <c r="AC186" s="57"/>
      <c r="AD186" s="57"/>
      <c r="AE186" s="57"/>
      <c r="AF186" s="57"/>
      <c r="AG186" s="57"/>
      <c r="AH186" s="57"/>
    </row>
    <row r="187" spans="1:34">
      <c r="A187" s="57">
        <f>A186+0.01</f>
        <v>0.53</v>
      </c>
      <c r="B187" s="57"/>
      <c r="C187" s="123">
        <v>0.52</v>
      </c>
      <c r="D187" s="124">
        <v>15</v>
      </c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B187" s="795"/>
      <c r="AC187" s="57"/>
      <c r="AD187" s="57"/>
      <c r="AE187" s="57"/>
      <c r="AF187" s="57"/>
      <c r="AG187" s="57"/>
      <c r="AH187" s="57"/>
    </row>
    <row r="188" spans="1:34">
      <c r="A188" s="57">
        <f t="shared" ref="A188:A189" si="19">A187+0.01</f>
        <v>0.54</v>
      </c>
      <c r="B188" s="57"/>
      <c r="C188" s="123">
        <v>0.53</v>
      </c>
      <c r="D188" s="124">
        <v>0</v>
      </c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B188" s="795"/>
      <c r="AC188" s="57"/>
      <c r="AD188" s="57"/>
      <c r="AE188" s="57"/>
      <c r="AF188" s="57"/>
      <c r="AG188" s="57"/>
      <c r="AH188" s="57"/>
    </row>
    <row r="189" spans="1:34">
      <c r="A189" s="57">
        <f t="shared" si="19"/>
        <v>0.55000000000000004</v>
      </c>
      <c r="B189" s="57"/>
      <c r="C189" s="123">
        <v>0.54</v>
      </c>
      <c r="D189" s="124">
        <v>0</v>
      </c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B189" s="795"/>
      <c r="AC189" s="57"/>
      <c r="AD189" s="57"/>
      <c r="AE189" s="57"/>
      <c r="AF189" s="57"/>
      <c r="AG189" s="57"/>
      <c r="AH189" s="57"/>
    </row>
    <row r="190" spans="1:34">
      <c r="A190" s="57"/>
      <c r="B190" s="57"/>
      <c r="C190" s="123">
        <v>0.55000000000000004</v>
      </c>
      <c r="D190" s="124">
        <v>0</v>
      </c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B190" s="795"/>
      <c r="AC190" s="57"/>
      <c r="AD190" s="57"/>
      <c r="AE190" s="57"/>
      <c r="AF190" s="57"/>
      <c r="AG190" s="57"/>
      <c r="AH190" s="57"/>
    </row>
    <row r="191" spans="1:34" ht="15.75" thickBot="1">
      <c r="A191" s="57"/>
      <c r="B191" s="57"/>
      <c r="C191" s="125" t="s">
        <v>148</v>
      </c>
      <c r="D191" s="125">
        <v>0</v>
      </c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B191" s="795"/>
      <c r="AC191" s="57"/>
      <c r="AD191" s="57"/>
      <c r="AE191" s="57"/>
      <c r="AF191" s="57"/>
      <c r="AG191" s="57"/>
      <c r="AH191" s="57"/>
    </row>
    <row r="192" spans="1:34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B192" s="795"/>
      <c r="AC192" s="57"/>
      <c r="AD192" s="57"/>
      <c r="AE192" s="57"/>
      <c r="AF192" s="57"/>
      <c r="AG192" s="57"/>
      <c r="AH192" s="57"/>
    </row>
    <row r="193" spans="1:34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B193" s="795"/>
      <c r="AC193" s="57"/>
      <c r="AD193" s="57"/>
      <c r="AE193" s="57"/>
      <c r="AF193" s="57"/>
      <c r="AG193" s="57"/>
      <c r="AH193" s="57"/>
    </row>
  </sheetData>
  <sortState ref="C181:C190">
    <sortCondition ref="C181"/>
  </sortState>
  <mergeCells count="8">
    <mergeCell ref="L176:N176"/>
    <mergeCell ref="M9:P9"/>
    <mergeCell ref="E9:I9"/>
    <mergeCell ref="A1:B1"/>
    <mergeCell ref="A2:B2"/>
    <mergeCell ref="A3:B3"/>
    <mergeCell ref="C9:D9"/>
    <mergeCell ref="K9:L9"/>
  </mergeCells>
  <pageMargins left="0.2" right="0.2" top="0.5" bottom="0.5" header="0.3" footer="0.3"/>
  <pageSetup orientation="landscape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E75"/>
  <sheetViews>
    <sheetView view="pageBreakPreview" topLeftCell="A16" zoomScale="85" zoomScaleNormal="70" zoomScaleSheetLayoutView="85" workbookViewId="0">
      <selection activeCell="AC14" sqref="AC14"/>
    </sheetView>
  </sheetViews>
  <sheetFormatPr defaultRowHeight="15"/>
  <cols>
    <col min="1" max="1" width="6.28515625" customWidth="1"/>
    <col min="2" max="2" width="16.140625" customWidth="1"/>
    <col min="3" max="4" width="5.140625" customWidth="1"/>
    <col min="5" max="9" width="5.5703125" customWidth="1"/>
    <col min="10" max="10" width="3.140625" bestFit="1" customWidth="1"/>
    <col min="11" max="12" width="6.85546875" customWidth="1"/>
    <col min="13" max="16" width="3.7109375" customWidth="1"/>
    <col min="17" max="17" width="9.5703125" customWidth="1"/>
    <col min="18" max="18" width="5.5703125" customWidth="1"/>
    <col min="19" max="19" width="5.140625" customWidth="1"/>
    <col min="20" max="20" width="9.85546875" customWidth="1"/>
    <col min="22" max="22" width="10.140625" bestFit="1" customWidth="1"/>
    <col min="23" max="23" width="10.42578125" bestFit="1" customWidth="1"/>
    <col min="24" max="24" width="9.28515625" customWidth="1"/>
    <col min="25" max="25" width="9.5703125" customWidth="1"/>
    <col min="26" max="26" width="7.85546875" customWidth="1"/>
  </cols>
  <sheetData>
    <row r="1" spans="1:31">
      <c r="A1" s="57" t="s">
        <v>0</v>
      </c>
      <c r="B1" s="52"/>
      <c r="C1" s="52"/>
      <c r="D1" s="52"/>
      <c r="E1" s="70"/>
      <c r="F1" s="70"/>
      <c r="G1" s="70"/>
      <c r="H1" s="70"/>
      <c r="I1" s="70"/>
      <c r="J1" s="70"/>
      <c r="K1" s="52"/>
      <c r="L1" s="52"/>
      <c r="M1" s="52"/>
      <c r="N1" s="52"/>
      <c r="O1" s="52"/>
      <c r="P1" s="52"/>
      <c r="Q1" s="57"/>
      <c r="R1" s="127"/>
      <c r="S1" s="127"/>
      <c r="T1" s="127"/>
      <c r="V1" s="52"/>
      <c r="W1" s="52"/>
      <c r="X1" s="57"/>
      <c r="Y1" s="57"/>
      <c r="Z1" s="57"/>
      <c r="AA1" s="57"/>
      <c r="AB1" s="57"/>
      <c r="AC1" s="57"/>
      <c r="AD1" s="57"/>
      <c r="AE1" s="57"/>
    </row>
    <row r="2" spans="1:31">
      <c r="A2" s="57" t="s">
        <v>1</v>
      </c>
      <c r="B2" s="52"/>
      <c r="C2" s="52"/>
      <c r="D2" s="52"/>
      <c r="E2" s="70"/>
      <c r="F2" s="70"/>
      <c r="G2" s="70"/>
      <c r="H2" s="70"/>
      <c r="I2" s="70"/>
      <c r="J2" s="70"/>
      <c r="K2" s="52"/>
      <c r="L2" s="52"/>
      <c r="M2" s="52"/>
      <c r="N2" s="52"/>
      <c r="O2" s="52"/>
      <c r="P2" s="52"/>
      <c r="Q2" s="57"/>
      <c r="R2" s="127"/>
      <c r="S2" s="127"/>
      <c r="T2" s="127"/>
      <c r="V2" s="52"/>
      <c r="W2" s="52"/>
      <c r="X2" s="57"/>
      <c r="Y2" s="57"/>
      <c r="Z2" s="57"/>
      <c r="AA2" s="57"/>
      <c r="AB2" s="57"/>
      <c r="AC2" s="57"/>
      <c r="AD2" s="57"/>
      <c r="AE2" s="57"/>
    </row>
    <row r="3" spans="1:31">
      <c r="A3" s="57" t="s">
        <v>58</v>
      </c>
      <c r="B3" s="52"/>
      <c r="C3" s="52"/>
      <c r="D3" s="52"/>
      <c r="E3" s="70"/>
      <c r="F3" s="70"/>
      <c r="G3" s="70"/>
      <c r="H3" s="70"/>
      <c r="I3" s="70"/>
      <c r="J3" s="70"/>
      <c r="K3" s="52"/>
      <c r="L3" s="52"/>
      <c r="M3" s="52"/>
      <c r="N3" s="52"/>
      <c r="O3" s="52"/>
      <c r="P3" s="52"/>
      <c r="Q3" s="57"/>
      <c r="R3" s="127"/>
      <c r="S3" s="127"/>
      <c r="T3" s="127"/>
      <c r="V3" s="52"/>
      <c r="W3" s="52"/>
      <c r="X3" s="57"/>
      <c r="Y3" s="57"/>
      <c r="Z3" s="57"/>
      <c r="AA3" s="57"/>
      <c r="AB3" s="57"/>
      <c r="AC3" s="57"/>
      <c r="AD3" s="57"/>
      <c r="AE3" s="57"/>
    </row>
    <row r="4" spans="1:31">
      <c r="A4" s="57"/>
      <c r="B4" s="52"/>
      <c r="C4" s="52"/>
      <c r="D4" s="52"/>
      <c r="E4" s="70"/>
      <c r="F4" s="70"/>
      <c r="G4" s="70"/>
      <c r="H4" s="70"/>
      <c r="I4" s="70"/>
      <c r="J4" s="70"/>
      <c r="K4" s="52"/>
      <c r="L4" s="52"/>
      <c r="M4" s="52"/>
      <c r="N4" s="52"/>
      <c r="O4" s="52"/>
      <c r="P4" s="52"/>
      <c r="Q4" s="57"/>
      <c r="R4" s="127"/>
      <c r="S4" s="127"/>
      <c r="T4" s="127"/>
      <c r="V4" s="52"/>
      <c r="W4" s="52"/>
      <c r="X4" s="57"/>
      <c r="Y4" s="57"/>
      <c r="Z4" s="57"/>
      <c r="AA4" s="57"/>
      <c r="AB4" s="57"/>
      <c r="AC4" s="57"/>
      <c r="AD4" s="57"/>
      <c r="AE4" s="57"/>
    </row>
    <row r="5" spans="1:31">
      <c r="A5" s="57"/>
      <c r="B5" s="52" t="s">
        <v>112</v>
      </c>
      <c r="C5" s="52" t="s">
        <v>113</v>
      </c>
      <c r="D5" s="52"/>
      <c r="E5" s="70"/>
      <c r="F5" s="70"/>
      <c r="G5" s="70"/>
      <c r="H5" s="70"/>
      <c r="I5" s="70"/>
      <c r="J5" s="70"/>
      <c r="K5" s="52"/>
      <c r="L5" s="52"/>
      <c r="M5" s="52"/>
      <c r="N5" s="52"/>
      <c r="O5" s="52"/>
      <c r="P5" s="52"/>
      <c r="Q5" s="57"/>
      <c r="R5" s="127"/>
      <c r="S5" s="127"/>
      <c r="T5" s="127"/>
      <c r="V5" s="52"/>
      <c r="W5" s="52"/>
      <c r="X5" s="57"/>
      <c r="Y5" s="57"/>
      <c r="Z5" s="57"/>
      <c r="AA5" s="57"/>
      <c r="AB5" s="57"/>
      <c r="AC5" s="57"/>
      <c r="AD5" s="57"/>
      <c r="AE5" s="57"/>
    </row>
    <row r="6" spans="1:31">
      <c r="A6" s="57" t="s">
        <v>66</v>
      </c>
      <c r="B6" s="52">
        <v>0.02</v>
      </c>
      <c r="C6" s="52">
        <f>B6*25.4</f>
        <v>0.50800000000000001</v>
      </c>
      <c r="D6" s="52"/>
      <c r="E6" s="70"/>
      <c r="F6" s="70"/>
      <c r="G6" s="70"/>
      <c r="H6" s="70"/>
      <c r="I6" s="70"/>
      <c r="J6" s="70"/>
      <c r="K6" s="52"/>
      <c r="L6" s="52"/>
      <c r="M6" s="52"/>
      <c r="N6" s="52"/>
      <c r="O6" s="52"/>
      <c r="P6" s="52"/>
      <c r="Q6" s="57"/>
      <c r="R6" s="127"/>
      <c r="S6" s="127"/>
      <c r="T6" s="127"/>
      <c r="V6" s="52"/>
      <c r="W6" s="52"/>
      <c r="X6" s="57"/>
      <c r="Y6" s="57"/>
      <c r="Z6" s="57"/>
      <c r="AA6" s="57"/>
      <c r="AB6" s="57"/>
      <c r="AC6" s="57"/>
      <c r="AD6" s="57"/>
      <c r="AE6" s="57"/>
    </row>
    <row r="7" spans="1:31">
      <c r="A7" s="57"/>
      <c r="B7" s="52"/>
      <c r="C7" s="52"/>
      <c r="D7" s="52"/>
      <c r="E7" s="70"/>
      <c r="F7" s="70"/>
      <c r="G7" s="70"/>
      <c r="H7" s="70"/>
      <c r="I7" s="70"/>
      <c r="J7" s="70"/>
      <c r="K7" s="52"/>
      <c r="L7" s="52"/>
      <c r="M7" s="52"/>
      <c r="N7" s="52"/>
      <c r="O7" s="52"/>
      <c r="P7" s="52"/>
      <c r="Q7" s="57"/>
      <c r="R7" s="127"/>
      <c r="S7" s="127"/>
      <c r="T7" s="127"/>
      <c r="V7" s="52"/>
      <c r="W7" s="52"/>
      <c r="X7" s="57"/>
      <c r="Y7" s="57"/>
      <c r="Z7" s="57"/>
      <c r="AA7" s="57"/>
      <c r="AB7" s="57"/>
      <c r="AC7" s="57"/>
      <c r="AD7" s="57"/>
      <c r="AE7" s="57"/>
    </row>
    <row r="8" spans="1:31">
      <c r="A8" s="3" t="s">
        <v>115</v>
      </c>
      <c r="B8" s="52"/>
      <c r="C8" s="52"/>
      <c r="D8" s="52"/>
      <c r="E8" s="70"/>
      <c r="F8" s="70"/>
      <c r="G8" s="70"/>
      <c r="H8" s="70"/>
      <c r="I8" s="70"/>
      <c r="J8" s="70"/>
      <c r="K8" s="52"/>
      <c r="L8" s="52"/>
      <c r="M8" s="52"/>
      <c r="N8" s="52"/>
      <c r="O8" s="52"/>
      <c r="P8" s="52"/>
      <c r="Q8" s="57"/>
      <c r="R8" s="127"/>
      <c r="S8" s="127"/>
      <c r="T8" s="127"/>
      <c r="V8" s="3" t="s">
        <v>157</v>
      </c>
      <c r="W8" s="52"/>
      <c r="X8" s="57"/>
      <c r="Z8" s="57"/>
      <c r="AA8" s="57"/>
      <c r="AB8" s="57"/>
      <c r="AC8" s="57"/>
      <c r="AD8" s="57"/>
      <c r="AE8" s="57"/>
    </row>
    <row r="9" spans="1:31" ht="45">
      <c r="A9" s="111" t="s">
        <v>216</v>
      </c>
      <c r="B9" s="128" t="s">
        <v>60</v>
      </c>
      <c r="C9" s="767" t="s">
        <v>61</v>
      </c>
      <c r="D9" s="768"/>
      <c r="E9" s="766" t="s">
        <v>62</v>
      </c>
      <c r="F9" s="766"/>
      <c r="G9" s="766"/>
      <c r="H9" s="766"/>
      <c r="I9" s="766"/>
      <c r="J9" s="129"/>
      <c r="K9" s="767" t="s">
        <v>63</v>
      </c>
      <c r="L9" s="768"/>
      <c r="M9" s="767" t="s">
        <v>64</v>
      </c>
      <c r="N9" s="765"/>
      <c r="O9" s="765"/>
      <c r="P9" s="765"/>
      <c r="Q9" s="130" t="s">
        <v>91</v>
      </c>
      <c r="R9" s="39" t="s">
        <v>220</v>
      </c>
      <c r="S9" s="228" t="s">
        <v>221</v>
      </c>
      <c r="T9" s="152" t="s">
        <v>101</v>
      </c>
      <c r="V9" s="152" t="s">
        <v>216</v>
      </c>
      <c r="W9" s="152" t="s">
        <v>67</v>
      </c>
      <c r="X9" s="133" t="s">
        <v>123</v>
      </c>
      <c r="Y9" s="134" t="s">
        <v>155</v>
      </c>
      <c r="Z9" s="152" t="s">
        <v>196</v>
      </c>
      <c r="AA9" s="252" t="s">
        <v>223</v>
      </c>
      <c r="AB9" s="225" t="s">
        <v>628</v>
      </c>
      <c r="AC9" s="57"/>
      <c r="AD9" s="57"/>
      <c r="AE9" s="57"/>
    </row>
    <row r="10" spans="1:31" s="26" customFormat="1">
      <c r="A10" s="229"/>
      <c r="B10" s="157"/>
      <c r="C10" s="156">
        <v>1</v>
      </c>
      <c r="D10" s="157">
        <v>2</v>
      </c>
      <c r="E10" s="156">
        <v>1</v>
      </c>
      <c r="F10" s="232">
        <v>2</v>
      </c>
      <c r="G10" s="232">
        <v>3</v>
      </c>
      <c r="H10" s="232">
        <v>4</v>
      </c>
      <c r="I10" s="232">
        <v>5</v>
      </c>
      <c r="J10" s="157">
        <v>6</v>
      </c>
      <c r="K10" s="156">
        <v>1</v>
      </c>
      <c r="L10" s="157">
        <v>2</v>
      </c>
      <c r="M10" s="156">
        <v>1</v>
      </c>
      <c r="N10" s="232">
        <v>2</v>
      </c>
      <c r="O10" s="232">
        <v>3</v>
      </c>
      <c r="P10" s="232">
        <v>4</v>
      </c>
      <c r="Q10" s="240"/>
      <c r="R10" s="156"/>
      <c r="S10" s="157"/>
      <c r="T10" s="245"/>
      <c r="V10" s="245"/>
      <c r="W10" s="138"/>
      <c r="X10" s="138"/>
      <c r="Y10" s="138"/>
      <c r="Z10" s="138"/>
      <c r="AA10" s="138"/>
      <c r="AB10" s="118"/>
      <c r="AC10" s="121"/>
      <c r="AD10" s="121"/>
      <c r="AE10" s="121"/>
    </row>
    <row r="11" spans="1:31">
      <c r="A11" s="66"/>
      <c r="B11" s="140"/>
      <c r="C11" s="139"/>
      <c r="D11" s="140"/>
      <c r="E11" s="139"/>
      <c r="F11" s="66"/>
      <c r="G11" s="66"/>
      <c r="H11" s="66"/>
      <c r="I11" s="66"/>
      <c r="J11" s="140"/>
      <c r="K11" s="139"/>
      <c r="L11" s="140"/>
      <c r="M11" s="139"/>
      <c r="N11" s="66"/>
      <c r="O11" s="66"/>
      <c r="P11" s="66"/>
      <c r="Q11" s="140"/>
      <c r="R11" s="139"/>
      <c r="S11" s="140"/>
      <c r="T11" s="143"/>
      <c r="V11" s="143"/>
      <c r="W11" s="143"/>
      <c r="X11" s="143"/>
      <c r="Y11" s="143"/>
      <c r="Z11" s="143"/>
      <c r="AA11" s="143"/>
      <c r="AB11" s="66"/>
      <c r="AC11" s="57"/>
      <c r="AD11" s="57"/>
      <c r="AE11" s="57"/>
    </row>
    <row r="12" spans="1:31">
      <c r="A12" s="78">
        <v>154</v>
      </c>
      <c r="B12" s="84"/>
      <c r="C12" s="68">
        <v>102</v>
      </c>
      <c r="D12" s="69">
        <v>102</v>
      </c>
      <c r="E12" s="72">
        <v>0.52</v>
      </c>
      <c r="F12" s="102">
        <v>0.52</v>
      </c>
      <c r="G12" s="102">
        <v>0.52</v>
      </c>
      <c r="H12" s="102">
        <v>0.52</v>
      </c>
      <c r="I12" s="101">
        <v>0.52</v>
      </c>
      <c r="J12" s="234"/>
      <c r="K12" s="72">
        <v>26.17</v>
      </c>
      <c r="L12" s="73">
        <v>26.11</v>
      </c>
      <c r="M12" s="81" t="s">
        <v>88</v>
      </c>
      <c r="N12" s="82"/>
      <c r="O12" s="67"/>
      <c r="P12" s="75"/>
      <c r="Q12" s="84"/>
      <c r="R12" s="63">
        <v>18.8</v>
      </c>
      <c r="S12" s="64">
        <f t="shared" ref="S12:S48" si="0">R12/(AVERAGE(C12:D12)*AVERAGE(E12:J12)*AVERAGE(K12:L12)*0.001)</f>
        <v>13.559658458168743</v>
      </c>
      <c r="T12" s="143">
        <v>3</v>
      </c>
      <c r="V12" s="225">
        <v>154</v>
      </c>
      <c r="W12" s="249">
        <f t="shared" ref="W12:W48" si="1">MAX(E12:I12)-MIN(E12:I12)</f>
        <v>0</v>
      </c>
      <c r="X12" s="143">
        <f>IF(OR(ABS(E12-B!$C$6)&gt;(B!$C$6*0.1),ABS(F12-B!$C$6)&gt;(B!$C$6*0.1),ABS(G12-B!$C$6)&gt;(B!$C$6*0.1),ABS(H12-B!$C$6)&gt;(B!$C$6*0.1),ABS(I12-B!$C$6)&gt;(B!$C$6*0.1)),1,0)</f>
        <v>0</v>
      </c>
      <c r="Y12" s="143">
        <f>IF(OR(K12&gt;Cuts!$B$16, L12&gt;Cuts!B$16), 1,0)</f>
        <v>0</v>
      </c>
      <c r="Z12" s="246">
        <f>IF(OR(C12&gt;Cuts!$D$16, D12&gt;Cuts!$D$16),1,0)</f>
        <v>0</v>
      </c>
      <c r="AA12" s="306">
        <f t="shared" ref="AA12:AA48" si="2">IF(OR(M12="Y",N12="Y",O12="Y",P12="Y"),1,0)</f>
        <v>1</v>
      </c>
      <c r="AB12" s="797"/>
      <c r="AC12" s="57"/>
      <c r="AD12" s="57"/>
      <c r="AE12" s="57"/>
    </row>
    <row r="13" spans="1:31">
      <c r="A13" s="66">
        <f t="shared" ref="A13:A48" si="3">A12+1</f>
        <v>155</v>
      </c>
      <c r="B13" s="84"/>
      <c r="C13" s="68">
        <v>102</v>
      </c>
      <c r="D13" s="69">
        <v>102</v>
      </c>
      <c r="E13" s="72">
        <v>0.51</v>
      </c>
      <c r="F13" s="102">
        <v>0.52</v>
      </c>
      <c r="G13" s="102">
        <v>0.51</v>
      </c>
      <c r="H13" s="102">
        <v>0.51</v>
      </c>
      <c r="I13" s="101">
        <v>0.51</v>
      </c>
      <c r="J13" s="234"/>
      <c r="K13" s="72">
        <v>26.22</v>
      </c>
      <c r="L13" s="73">
        <v>26.11</v>
      </c>
      <c r="M13" s="81"/>
      <c r="N13" s="82" t="s">
        <v>88</v>
      </c>
      <c r="O13" s="67"/>
      <c r="P13" s="75"/>
      <c r="Q13" s="84"/>
      <c r="R13" s="63">
        <v>18.399999999999999</v>
      </c>
      <c r="S13" s="64">
        <f t="shared" si="0"/>
        <v>13.465638500766254</v>
      </c>
      <c r="T13" s="143">
        <v>3</v>
      </c>
      <c r="V13" s="143">
        <f t="shared" ref="V13:V48" si="4">V12+1</f>
        <v>155</v>
      </c>
      <c r="W13" s="249">
        <f t="shared" si="1"/>
        <v>1.0000000000000009E-2</v>
      </c>
      <c r="X13" s="143">
        <f>IF(OR(ABS(E13-B!$C$6)&gt;(B!$C$6*0.1),ABS(F13-B!$C$6)&gt;(B!$C$6*0.1),ABS(G13-B!$C$6)&gt;(B!$C$6*0.1),ABS(H13-B!$C$6)&gt;(B!$C$6*0.1),ABS(I13-B!$C$6)&gt;(B!$C$6*0.1)),1,0)</f>
        <v>0</v>
      </c>
      <c r="Y13" s="143">
        <f>IF(OR(K13&gt;Cuts!$B$16, L13&gt;Cuts!B$16), 1,0)</f>
        <v>0</v>
      </c>
      <c r="Z13" s="246">
        <f>IF(OR(C13&gt;Cuts!$D$16, D13&gt;Cuts!$D$16),1,0)</f>
        <v>0</v>
      </c>
      <c r="AA13" s="306">
        <f t="shared" si="2"/>
        <v>1</v>
      </c>
      <c r="AB13" s="797"/>
      <c r="AC13" s="57"/>
      <c r="AD13" s="57"/>
      <c r="AE13" s="57"/>
    </row>
    <row r="14" spans="1:31">
      <c r="A14" s="66">
        <f t="shared" si="3"/>
        <v>156</v>
      </c>
      <c r="B14" s="84"/>
      <c r="C14" s="68">
        <v>103</v>
      </c>
      <c r="D14" s="69">
        <v>102</v>
      </c>
      <c r="E14" s="72">
        <v>0.51</v>
      </c>
      <c r="F14" s="102">
        <v>0.52</v>
      </c>
      <c r="G14" s="102">
        <v>0.52</v>
      </c>
      <c r="H14" s="102">
        <v>0.52</v>
      </c>
      <c r="I14" s="101">
        <v>0.52</v>
      </c>
      <c r="J14" s="234"/>
      <c r="K14" s="72">
        <v>26.2</v>
      </c>
      <c r="L14" s="73">
        <v>26.14</v>
      </c>
      <c r="M14" s="81" t="s">
        <v>88</v>
      </c>
      <c r="N14" s="82"/>
      <c r="O14" s="67"/>
      <c r="P14" s="75"/>
      <c r="Q14" s="84"/>
      <c r="R14" s="63">
        <v>18.7</v>
      </c>
      <c r="S14" s="64">
        <f t="shared" si="0"/>
        <v>13.458115734973426</v>
      </c>
      <c r="T14" s="143">
        <v>3</v>
      </c>
      <c r="V14" s="143">
        <f t="shared" si="4"/>
        <v>156</v>
      </c>
      <c r="W14" s="249">
        <f t="shared" si="1"/>
        <v>1.0000000000000009E-2</v>
      </c>
      <c r="X14" s="143">
        <f>IF(OR(ABS(E14-B!$C$6)&gt;(B!$C$6*0.1),ABS(F14-B!$C$6)&gt;(B!$C$6*0.1),ABS(G14-B!$C$6)&gt;(B!$C$6*0.1),ABS(H14-B!$C$6)&gt;(B!$C$6*0.1),ABS(I14-B!$C$6)&gt;(B!$C$6*0.1)),1,0)</f>
        <v>0</v>
      </c>
      <c r="Y14" s="143">
        <f>IF(OR(K14&gt;Cuts!$B$16, L14&gt;Cuts!B$16), 1,0)</f>
        <v>0</v>
      </c>
      <c r="Z14" s="246">
        <f>IF(OR(C14&gt;Cuts!$D$16, D14&gt;Cuts!$D$16),1,0)</f>
        <v>0</v>
      </c>
      <c r="AA14" s="306">
        <f t="shared" si="2"/>
        <v>1</v>
      </c>
      <c r="AB14" s="797"/>
      <c r="AC14" s="57"/>
      <c r="AD14" s="57"/>
      <c r="AE14" s="57"/>
    </row>
    <row r="15" spans="1:31">
      <c r="A15" s="66">
        <f t="shared" si="3"/>
        <v>157</v>
      </c>
      <c r="B15" s="84"/>
      <c r="C15" s="68">
        <v>102</v>
      </c>
      <c r="D15" s="69">
        <v>103</v>
      </c>
      <c r="E15" s="72">
        <v>0.49</v>
      </c>
      <c r="F15" s="102">
        <v>0.5</v>
      </c>
      <c r="G15" s="102">
        <v>0.5</v>
      </c>
      <c r="H15" s="102">
        <v>0.5</v>
      </c>
      <c r="I15" s="101">
        <v>0.5</v>
      </c>
      <c r="J15" s="234"/>
      <c r="K15" s="72">
        <v>26.22</v>
      </c>
      <c r="L15" s="73">
        <v>26.09</v>
      </c>
      <c r="M15" s="81" t="s">
        <v>89</v>
      </c>
      <c r="N15" s="82"/>
      <c r="O15" s="67"/>
      <c r="P15" s="75"/>
      <c r="Q15" s="83" t="s">
        <v>94</v>
      </c>
      <c r="R15" s="63">
        <v>18.2</v>
      </c>
      <c r="S15" s="64">
        <f t="shared" si="0"/>
        <v>13.632121727956065</v>
      </c>
      <c r="T15" s="143">
        <v>3</v>
      </c>
      <c r="V15" s="143">
        <f t="shared" si="4"/>
        <v>157</v>
      </c>
      <c r="W15" s="249">
        <f t="shared" si="1"/>
        <v>1.0000000000000009E-2</v>
      </c>
      <c r="X15" s="143">
        <f>IF(OR(ABS(E15-B!$C$6)&gt;(B!$C$6*0.1),ABS(F15-B!$C$6)&gt;(B!$C$6*0.1),ABS(G15-B!$C$6)&gt;(B!$C$6*0.1),ABS(H15-B!$C$6)&gt;(B!$C$6*0.1),ABS(I15-B!$C$6)&gt;(B!$C$6*0.1)),1,0)</f>
        <v>0</v>
      </c>
      <c r="Y15" s="143">
        <f>IF(OR(K15&gt;Cuts!$B$16, L15&gt;Cuts!B$16), 1,0)</f>
        <v>0</v>
      </c>
      <c r="Z15" s="246">
        <f>IF(OR(C15&gt;Cuts!$D$16, D15&gt;Cuts!$D$16),1,0)</f>
        <v>0</v>
      </c>
      <c r="AA15" s="306">
        <f t="shared" si="2"/>
        <v>0</v>
      </c>
      <c r="AB15" s="797"/>
      <c r="AC15" s="57"/>
      <c r="AD15" s="57"/>
      <c r="AE15" s="57"/>
    </row>
    <row r="16" spans="1:31">
      <c r="A16" s="66">
        <f t="shared" si="3"/>
        <v>158</v>
      </c>
      <c r="B16" s="84"/>
      <c r="C16" s="68">
        <v>102</v>
      </c>
      <c r="D16" s="69">
        <v>102</v>
      </c>
      <c r="E16" s="72">
        <v>0.5</v>
      </c>
      <c r="F16" s="102">
        <v>0.5</v>
      </c>
      <c r="G16" s="102">
        <v>0.5</v>
      </c>
      <c r="H16" s="102">
        <v>0.5</v>
      </c>
      <c r="I16" s="101">
        <v>0.49</v>
      </c>
      <c r="J16" s="234"/>
      <c r="K16" s="72">
        <v>26.12</v>
      </c>
      <c r="L16" s="73">
        <v>26.13</v>
      </c>
      <c r="M16" s="81" t="s">
        <v>89</v>
      </c>
      <c r="N16" s="82" t="s">
        <v>89</v>
      </c>
      <c r="O16" s="67"/>
      <c r="P16" s="75"/>
      <c r="Q16" s="84"/>
      <c r="R16" s="63">
        <v>18</v>
      </c>
      <c r="S16" s="64">
        <f t="shared" si="0"/>
        <v>13.563965968009386</v>
      </c>
      <c r="T16" s="143">
        <v>3</v>
      </c>
      <c r="V16" s="143">
        <f t="shared" si="4"/>
        <v>158</v>
      </c>
      <c r="W16" s="249">
        <f t="shared" si="1"/>
        <v>1.0000000000000009E-2</v>
      </c>
      <c r="X16" s="143">
        <f>IF(OR(ABS(E16-B!$C$6)&gt;(B!$C$6*0.1),ABS(F16-B!$C$6)&gt;(B!$C$6*0.1),ABS(G16-B!$C$6)&gt;(B!$C$6*0.1),ABS(H16-B!$C$6)&gt;(B!$C$6*0.1),ABS(I16-B!$C$6)&gt;(B!$C$6*0.1)),1,0)</f>
        <v>0</v>
      </c>
      <c r="Y16" s="143">
        <f>IF(OR(K16&gt;Cuts!$B$16, L16&gt;Cuts!B$16), 1,0)</f>
        <v>0</v>
      </c>
      <c r="Z16" s="246">
        <f>IF(OR(C16&gt;Cuts!$D$16, D16&gt;Cuts!$D$16),1,0)</f>
        <v>0</v>
      </c>
      <c r="AA16" s="306">
        <f t="shared" si="2"/>
        <v>0</v>
      </c>
      <c r="AB16" s="797"/>
      <c r="AC16" s="57"/>
      <c r="AD16" s="57"/>
      <c r="AE16" s="57"/>
    </row>
    <row r="17" spans="1:31">
      <c r="A17" s="66">
        <f t="shared" si="3"/>
        <v>159</v>
      </c>
      <c r="B17" s="84"/>
      <c r="C17" s="68">
        <v>102</v>
      </c>
      <c r="D17" s="69">
        <v>102</v>
      </c>
      <c r="E17" s="72">
        <v>0.51</v>
      </c>
      <c r="F17" s="102">
        <v>0.51</v>
      </c>
      <c r="G17" s="102">
        <v>0.51</v>
      </c>
      <c r="H17" s="102">
        <v>0.51</v>
      </c>
      <c r="I17" s="101">
        <v>0.51</v>
      </c>
      <c r="J17" s="234"/>
      <c r="K17" s="72">
        <v>26.16</v>
      </c>
      <c r="L17" s="73">
        <v>26.13</v>
      </c>
      <c r="M17" s="81" t="s">
        <v>89</v>
      </c>
      <c r="N17" s="82"/>
      <c r="O17" s="67"/>
      <c r="P17" s="75"/>
      <c r="Q17" s="84"/>
      <c r="R17" s="63">
        <v>18.7</v>
      </c>
      <c r="S17" s="64">
        <f t="shared" si="0"/>
        <v>13.749364091910747</v>
      </c>
      <c r="T17" s="143">
        <v>3</v>
      </c>
      <c r="V17" s="143">
        <f t="shared" si="4"/>
        <v>159</v>
      </c>
      <c r="W17" s="249">
        <f t="shared" si="1"/>
        <v>0</v>
      </c>
      <c r="X17" s="143">
        <f>IF(OR(ABS(E17-B!$C$6)&gt;(B!$C$6*0.1),ABS(F17-B!$C$6)&gt;(B!$C$6*0.1),ABS(G17-B!$C$6)&gt;(B!$C$6*0.1),ABS(H17-B!$C$6)&gt;(B!$C$6*0.1),ABS(I17-B!$C$6)&gt;(B!$C$6*0.1)),1,0)</f>
        <v>0</v>
      </c>
      <c r="Y17" s="143">
        <f>IF(OR(K17&gt;Cuts!$B$16, L17&gt;Cuts!B$16), 1,0)</f>
        <v>0</v>
      </c>
      <c r="Z17" s="246">
        <f>IF(OR(C17&gt;Cuts!$D$16, D17&gt;Cuts!$D$16),1,0)</f>
        <v>0</v>
      </c>
      <c r="AA17" s="306">
        <f t="shared" si="2"/>
        <v>0</v>
      </c>
      <c r="AB17" s="797"/>
      <c r="AC17" s="57"/>
      <c r="AD17" s="57"/>
      <c r="AE17" s="57"/>
    </row>
    <row r="18" spans="1:31">
      <c r="A18" s="66">
        <f t="shared" si="3"/>
        <v>160</v>
      </c>
      <c r="B18" s="84"/>
      <c r="C18" s="68">
        <v>102</v>
      </c>
      <c r="D18" s="69">
        <v>102</v>
      </c>
      <c r="E18" s="72">
        <v>0.51</v>
      </c>
      <c r="F18" s="102">
        <v>0.51</v>
      </c>
      <c r="G18" s="102">
        <v>0.51</v>
      </c>
      <c r="H18" s="102">
        <v>0.51</v>
      </c>
      <c r="I18" s="101">
        <v>0.51</v>
      </c>
      <c r="J18" s="234"/>
      <c r="K18" s="72">
        <v>26.1</v>
      </c>
      <c r="L18" s="73">
        <v>26.24</v>
      </c>
      <c r="M18" s="81" t="s">
        <v>89</v>
      </c>
      <c r="N18" s="82"/>
      <c r="O18" s="67"/>
      <c r="P18" s="75"/>
      <c r="Q18" s="84"/>
      <c r="R18" s="63">
        <v>18.2</v>
      </c>
      <c r="S18" s="64">
        <f t="shared" si="0"/>
        <v>13.368950568231817</v>
      </c>
      <c r="T18" s="143">
        <v>3</v>
      </c>
      <c r="V18" s="143">
        <f t="shared" si="4"/>
        <v>160</v>
      </c>
      <c r="W18" s="249">
        <f t="shared" si="1"/>
        <v>0</v>
      </c>
      <c r="X18" s="143">
        <f>IF(OR(ABS(E18-B!$C$6)&gt;(B!$C$6*0.1),ABS(F18-B!$C$6)&gt;(B!$C$6*0.1),ABS(G18-B!$C$6)&gt;(B!$C$6*0.1),ABS(H18-B!$C$6)&gt;(B!$C$6*0.1),ABS(I18-B!$C$6)&gt;(B!$C$6*0.1)),1,0)</f>
        <v>0</v>
      </c>
      <c r="Y18" s="143">
        <f>IF(OR(K18&gt;Cuts!$B$16, L18&gt;Cuts!B$16), 1,0)</f>
        <v>0</v>
      </c>
      <c r="Z18" s="246">
        <f>IF(OR(C18&gt;Cuts!$D$16, D18&gt;Cuts!$D$16),1,0)</f>
        <v>0</v>
      </c>
      <c r="AA18" s="306">
        <f t="shared" si="2"/>
        <v>0</v>
      </c>
      <c r="AB18" s="797"/>
      <c r="AC18" s="57"/>
      <c r="AD18" s="57"/>
      <c r="AE18" s="57"/>
    </row>
    <row r="19" spans="1:31">
      <c r="A19" s="66">
        <f t="shared" si="3"/>
        <v>161</v>
      </c>
      <c r="B19" s="84"/>
      <c r="C19" s="68">
        <v>102</v>
      </c>
      <c r="D19" s="69">
        <v>102</v>
      </c>
      <c r="E19" s="72">
        <v>0.52</v>
      </c>
      <c r="F19" s="102">
        <v>0.52</v>
      </c>
      <c r="G19" s="102">
        <v>0.52</v>
      </c>
      <c r="H19" s="102">
        <v>0.52</v>
      </c>
      <c r="I19" s="101">
        <v>0.52</v>
      </c>
      <c r="J19" s="234"/>
      <c r="K19" s="72">
        <v>26.11</v>
      </c>
      <c r="L19" s="73">
        <v>26.13</v>
      </c>
      <c r="M19" s="81"/>
      <c r="N19" s="82" t="s">
        <v>89</v>
      </c>
      <c r="O19" s="67"/>
      <c r="P19" s="75"/>
      <c r="Q19" s="84"/>
      <c r="R19" s="63">
        <v>18.600000000000001</v>
      </c>
      <c r="S19" s="64">
        <f t="shared" si="0"/>
        <v>13.425678906266242</v>
      </c>
      <c r="T19" s="143">
        <v>3</v>
      </c>
      <c r="V19" s="143">
        <f t="shared" si="4"/>
        <v>161</v>
      </c>
      <c r="W19" s="249">
        <f t="shared" si="1"/>
        <v>0</v>
      </c>
      <c r="X19" s="143">
        <f>IF(OR(ABS(E19-B!$C$6)&gt;(B!$C$6*0.1),ABS(F19-B!$C$6)&gt;(B!$C$6*0.1),ABS(G19-B!$C$6)&gt;(B!$C$6*0.1),ABS(H19-B!$C$6)&gt;(B!$C$6*0.1),ABS(I19-B!$C$6)&gt;(B!$C$6*0.1)),1,0)</f>
        <v>0</v>
      </c>
      <c r="Y19" s="143">
        <f>IF(OR(K19&gt;Cuts!$B$16, L19&gt;Cuts!B$16), 1,0)</f>
        <v>0</v>
      </c>
      <c r="Z19" s="246">
        <f>IF(OR(C19&gt;Cuts!$D$16, D19&gt;Cuts!$D$16),1,0)</f>
        <v>0</v>
      </c>
      <c r="AA19" s="306">
        <f t="shared" si="2"/>
        <v>0</v>
      </c>
      <c r="AB19" s="797"/>
      <c r="AC19" s="57"/>
      <c r="AD19" s="57"/>
      <c r="AE19" s="57"/>
    </row>
    <row r="20" spans="1:31">
      <c r="A20" s="66">
        <f t="shared" si="3"/>
        <v>162</v>
      </c>
      <c r="B20" s="84"/>
      <c r="C20" s="68">
        <v>102</v>
      </c>
      <c r="D20" s="69">
        <v>102</v>
      </c>
      <c r="E20" s="72">
        <v>0.52</v>
      </c>
      <c r="F20" s="102">
        <v>0.52</v>
      </c>
      <c r="G20" s="102">
        <v>0.52</v>
      </c>
      <c r="H20" s="102">
        <v>0.53</v>
      </c>
      <c r="I20" s="101">
        <v>0.52</v>
      </c>
      <c r="J20" s="234"/>
      <c r="K20" s="72">
        <v>26.15</v>
      </c>
      <c r="L20" s="144">
        <v>26.12</v>
      </c>
      <c r="M20" s="81"/>
      <c r="N20" s="82" t="s">
        <v>88</v>
      </c>
      <c r="O20" s="67"/>
      <c r="P20" s="75"/>
      <c r="Q20" s="84"/>
      <c r="R20" s="63">
        <v>18.7</v>
      </c>
      <c r="S20" s="64">
        <f t="shared" si="0"/>
        <v>13.43842671696059</v>
      </c>
      <c r="T20" s="143">
        <v>3</v>
      </c>
      <c r="V20" s="143">
        <f t="shared" si="4"/>
        <v>162</v>
      </c>
      <c r="W20" s="249">
        <f t="shared" si="1"/>
        <v>1.0000000000000009E-2</v>
      </c>
      <c r="X20" s="143">
        <f>IF(OR(ABS(E20-B!$C$6)&gt;(B!$C$6*0.1),ABS(F20-B!$C$6)&gt;(B!$C$6*0.1),ABS(G20-B!$C$6)&gt;(B!$C$6*0.1),ABS(H20-B!$C$6)&gt;(B!$C$6*0.1),ABS(I20-B!$C$6)&gt;(B!$C$6*0.1)),1,0)</f>
        <v>0</v>
      </c>
      <c r="Y20" s="143">
        <f>IF(OR(K20&gt;Cuts!$B$16, L20&gt;Cuts!B$16), 1,0)</f>
        <v>0</v>
      </c>
      <c r="Z20" s="246">
        <f>IF(OR(C20&gt;Cuts!$D$16, D20&gt;Cuts!$D$16),1,0)</f>
        <v>0</v>
      </c>
      <c r="AA20" s="306">
        <f t="shared" si="2"/>
        <v>1</v>
      </c>
      <c r="AB20" s="797"/>
      <c r="AC20" s="57"/>
      <c r="AD20" s="57"/>
      <c r="AE20" s="57"/>
    </row>
    <row r="21" spans="1:31">
      <c r="A21" s="66">
        <f t="shared" si="3"/>
        <v>163</v>
      </c>
      <c r="B21" s="84"/>
      <c r="C21" s="68">
        <v>102</v>
      </c>
      <c r="D21" s="69">
        <v>102</v>
      </c>
      <c r="E21" s="72">
        <v>0.52</v>
      </c>
      <c r="F21" s="102">
        <v>0.52</v>
      </c>
      <c r="G21" s="102">
        <v>0.52</v>
      </c>
      <c r="H21" s="102">
        <v>0.51</v>
      </c>
      <c r="I21" s="101">
        <v>0.51</v>
      </c>
      <c r="J21" s="234"/>
      <c r="K21" s="72">
        <v>26.13</v>
      </c>
      <c r="L21" s="73">
        <v>26.13</v>
      </c>
      <c r="M21" s="81" t="s">
        <v>88</v>
      </c>
      <c r="N21" s="82"/>
      <c r="O21" s="67"/>
      <c r="P21" s="75"/>
      <c r="Q21" s="84"/>
      <c r="R21" s="63">
        <v>18.7</v>
      </c>
      <c r="S21" s="64">
        <f t="shared" si="0"/>
        <v>13.597288848937579</v>
      </c>
      <c r="T21" s="143">
        <v>3</v>
      </c>
      <c r="V21" s="143">
        <f t="shared" si="4"/>
        <v>163</v>
      </c>
      <c r="W21" s="249">
        <f t="shared" si="1"/>
        <v>1.0000000000000009E-2</v>
      </c>
      <c r="X21" s="143">
        <f>IF(OR(ABS(E21-B!$C$6)&gt;(B!$C$6*0.1),ABS(F21-B!$C$6)&gt;(B!$C$6*0.1),ABS(G21-B!$C$6)&gt;(B!$C$6*0.1),ABS(H21-B!$C$6)&gt;(B!$C$6*0.1),ABS(I21-B!$C$6)&gt;(B!$C$6*0.1)),1,0)</f>
        <v>0</v>
      </c>
      <c r="Y21" s="143">
        <f>IF(OR(K21&gt;Cuts!$B$16, L21&gt;Cuts!B$16), 1,0)</f>
        <v>0</v>
      </c>
      <c r="Z21" s="246">
        <f>IF(OR(C21&gt;Cuts!$D$16, D21&gt;Cuts!$D$16),1,0)</f>
        <v>0</v>
      </c>
      <c r="AA21" s="306">
        <f t="shared" si="2"/>
        <v>1</v>
      </c>
      <c r="AB21" s="797"/>
      <c r="AC21" s="57"/>
      <c r="AD21" s="57"/>
      <c r="AE21" s="57"/>
    </row>
    <row r="22" spans="1:31">
      <c r="A22" s="66">
        <f t="shared" si="3"/>
        <v>164</v>
      </c>
      <c r="B22" s="84"/>
      <c r="C22" s="68">
        <v>102</v>
      </c>
      <c r="D22" s="69">
        <v>102</v>
      </c>
      <c r="E22" s="72">
        <v>0.5</v>
      </c>
      <c r="F22" s="102">
        <v>0.51</v>
      </c>
      <c r="G22" s="102">
        <v>0.51</v>
      </c>
      <c r="H22" s="102">
        <v>0.51</v>
      </c>
      <c r="I22" s="101">
        <v>0.51</v>
      </c>
      <c r="J22" s="234"/>
      <c r="K22" s="72">
        <v>26.21</v>
      </c>
      <c r="L22" s="73">
        <v>26.2</v>
      </c>
      <c r="M22" s="81" t="s">
        <v>89</v>
      </c>
      <c r="N22" s="82"/>
      <c r="O22" s="67"/>
      <c r="P22" s="75"/>
      <c r="Q22" s="84"/>
      <c r="R22" s="63">
        <v>18.3</v>
      </c>
      <c r="S22" s="64">
        <f t="shared" si="0"/>
        <v>13.477304528489212</v>
      </c>
      <c r="T22" s="143">
        <v>3</v>
      </c>
      <c r="V22" s="143">
        <f t="shared" si="4"/>
        <v>164</v>
      </c>
      <c r="W22" s="249">
        <f t="shared" si="1"/>
        <v>1.0000000000000009E-2</v>
      </c>
      <c r="X22" s="143">
        <f>IF(OR(ABS(E22-B!$C$6)&gt;(B!$C$6*0.1),ABS(F22-B!$C$6)&gt;(B!$C$6*0.1),ABS(G22-B!$C$6)&gt;(B!$C$6*0.1),ABS(H22-B!$C$6)&gt;(B!$C$6*0.1),ABS(I22-B!$C$6)&gt;(B!$C$6*0.1)),1,0)</f>
        <v>0</v>
      </c>
      <c r="Y22" s="143">
        <f>IF(OR(K22&gt;Cuts!$B$16, L22&gt;Cuts!B$16), 1,0)</f>
        <v>0</v>
      </c>
      <c r="Z22" s="246">
        <f>IF(OR(C22&gt;Cuts!$D$16, D22&gt;Cuts!$D$16),1,0)</f>
        <v>0</v>
      </c>
      <c r="AA22" s="306">
        <f t="shared" si="2"/>
        <v>0</v>
      </c>
      <c r="AB22" s="797"/>
      <c r="AC22" s="57"/>
      <c r="AD22" s="57"/>
      <c r="AE22" s="57"/>
    </row>
    <row r="23" spans="1:31">
      <c r="A23" s="66">
        <f t="shared" si="3"/>
        <v>165</v>
      </c>
      <c r="B23" s="84"/>
      <c r="C23" s="68">
        <v>102</v>
      </c>
      <c r="D23" s="69">
        <v>102</v>
      </c>
      <c r="E23" s="72">
        <v>0.51</v>
      </c>
      <c r="F23" s="102">
        <v>0.51</v>
      </c>
      <c r="G23" s="102">
        <v>0.51</v>
      </c>
      <c r="H23" s="102">
        <v>0.51</v>
      </c>
      <c r="I23" s="101">
        <v>0.51</v>
      </c>
      <c r="J23" s="234"/>
      <c r="K23" s="72">
        <v>26.22</v>
      </c>
      <c r="L23" s="73">
        <v>26.19</v>
      </c>
      <c r="M23" s="81" t="s">
        <v>89</v>
      </c>
      <c r="N23" s="82"/>
      <c r="O23" s="67"/>
      <c r="P23" s="75"/>
      <c r="Q23" s="84"/>
      <c r="R23" s="63">
        <v>18.3</v>
      </c>
      <c r="S23" s="64">
        <f t="shared" si="0"/>
        <v>13.424452353867684</v>
      </c>
      <c r="T23" s="143">
        <v>3</v>
      </c>
      <c r="V23" s="143">
        <f t="shared" si="4"/>
        <v>165</v>
      </c>
      <c r="W23" s="249">
        <f t="shared" si="1"/>
        <v>0</v>
      </c>
      <c r="X23" s="143">
        <f>IF(OR(ABS(E23-B!$C$6)&gt;(B!$C$6*0.1),ABS(F23-B!$C$6)&gt;(B!$C$6*0.1),ABS(G23-B!$C$6)&gt;(B!$C$6*0.1),ABS(H23-B!$C$6)&gt;(B!$C$6*0.1),ABS(I23-B!$C$6)&gt;(B!$C$6*0.1)),1,0)</f>
        <v>0</v>
      </c>
      <c r="Y23" s="143">
        <f>IF(OR(K23&gt;Cuts!$B$16, L23&gt;Cuts!B$16), 1,0)</f>
        <v>0</v>
      </c>
      <c r="Z23" s="246">
        <f>IF(OR(C23&gt;Cuts!$D$16, D23&gt;Cuts!$D$16),1,0)</f>
        <v>0</v>
      </c>
      <c r="AA23" s="306">
        <f t="shared" si="2"/>
        <v>0</v>
      </c>
      <c r="AB23" s="797"/>
      <c r="AC23" s="57"/>
      <c r="AD23" s="57"/>
      <c r="AE23" s="57"/>
    </row>
    <row r="24" spans="1:31">
      <c r="A24" s="66">
        <f t="shared" si="3"/>
        <v>166</v>
      </c>
      <c r="B24" s="84"/>
      <c r="C24" s="68">
        <v>102</v>
      </c>
      <c r="D24" s="69">
        <v>102</v>
      </c>
      <c r="E24" s="72">
        <v>0.51</v>
      </c>
      <c r="F24" s="102">
        <v>0.51</v>
      </c>
      <c r="G24" s="102">
        <v>0.51</v>
      </c>
      <c r="H24" s="102">
        <v>0.51</v>
      </c>
      <c r="I24" s="101">
        <v>0.51</v>
      </c>
      <c r="J24" s="234"/>
      <c r="K24" s="72">
        <v>26.15</v>
      </c>
      <c r="L24" s="73">
        <v>26.17</v>
      </c>
      <c r="M24" s="81"/>
      <c r="N24" s="82"/>
      <c r="O24" s="67"/>
      <c r="P24" s="75"/>
      <c r="Q24" s="84"/>
      <c r="R24" s="63">
        <v>18.399999999999999</v>
      </c>
      <c r="S24" s="64">
        <f t="shared" si="0"/>
        <v>13.521028726895205</v>
      </c>
      <c r="T24" s="143">
        <v>3</v>
      </c>
      <c r="V24" s="143">
        <f t="shared" si="4"/>
        <v>166</v>
      </c>
      <c r="W24" s="249">
        <f t="shared" si="1"/>
        <v>0</v>
      </c>
      <c r="X24" s="143">
        <f>IF(OR(ABS(E24-B!$C$6)&gt;(B!$C$6*0.1),ABS(F24-B!$C$6)&gt;(B!$C$6*0.1),ABS(G24-B!$C$6)&gt;(B!$C$6*0.1),ABS(H24-B!$C$6)&gt;(B!$C$6*0.1),ABS(I24-B!$C$6)&gt;(B!$C$6*0.1)),1,0)</f>
        <v>0</v>
      </c>
      <c r="Y24" s="143">
        <f>IF(OR(K24&gt;Cuts!$B$16, L24&gt;Cuts!B$16), 1,0)</f>
        <v>0</v>
      </c>
      <c r="Z24" s="246">
        <f>IF(OR(C24&gt;Cuts!$D$16, D24&gt;Cuts!$D$16),1,0)</f>
        <v>0</v>
      </c>
      <c r="AA24" s="306">
        <f t="shared" si="2"/>
        <v>0</v>
      </c>
      <c r="AB24" s="797"/>
      <c r="AC24" s="57"/>
      <c r="AD24" s="57"/>
      <c r="AE24" s="57"/>
    </row>
    <row r="25" spans="1:31">
      <c r="A25" s="66">
        <f t="shared" si="3"/>
        <v>167</v>
      </c>
      <c r="B25" s="84"/>
      <c r="C25" s="68">
        <v>102</v>
      </c>
      <c r="D25" s="69">
        <v>102</v>
      </c>
      <c r="E25" s="72">
        <v>0.51</v>
      </c>
      <c r="F25" s="102">
        <v>0.51</v>
      </c>
      <c r="G25" s="102">
        <v>0.51</v>
      </c>
      <c r="H25" s="102">
        <v>0.51</v>
      </c>
      <c r="I25" s="101">
        <v>0.51</v>
      </c>
      <c r="J25" s="234"/>
      <c r="K25" s="72">
        <v>26.24</v>
      </c>
      <c r="L25" s="73">
        <v>26.19</v>
      </c>
      <c r="M25" s="81" t="s">
        <v>89</v>
      </c>
      <c r="N25" s="82"/>
      <c r="O25" s="67"/>
      <c r="P25" s="75"/>
      <c r="Q25" s="84"/>
      <c r="R25" s="63">
        <v>18.399999999999999</v>
      </c>
      <c r="S25" s="64">
        <f t="shared" si="0"/>
        <v>13.492661128955886</v>
      </c>
      <c r="T25" s="143">
        <v>3</v>
      </c>
      <c r="V25" s="143">
        <f t="shared" si="4"/>
        <v>167</v>
      </c>
      <c r="W25" s="249">
        <f t="shared" si="1"/>
        <v>0</v>
      </c>
      <c r="X25" s="143">
        <f>IF(OR(ABS(E25-B!$C$6)&gt;(B!$C$6*0.1),ABS(F25-B!$C$6)&gt;(B!$C$6*0.1),ABS(G25-B!$C$6)&gt;(B!$C$6*0.1),ABS(H25-B!$C$6)&gt;(B!$C$6*0.1),ABS(I25-B!$C$6)&gt;(B!$C$6*0.1)),1,0)</f>
        <v>0</v>
      </c>
      <c r="Y25" s="143">
        <f>IF(OR(K25&gt;Cuts!$B$16, L25&gt;Cuts!B$16), 1,0)</f>
        <v>0</v>
      </c>
      <c r="Z25" s="246">
        <f>IF(OR(C25&gt;Cuts!$D$16, D25&gt;Cuts!$D$16),1,0)</f>
        <v>0</v>
      </c>
      <c r="AA25" s="306">
        <f t="shared" si="2"/>
        <v>0</v>
      </c>
      <c r="AB25" s="797"/>
      <c r="AC25" s="57"/>
      <c r="AD25" s="57"/>
      <c r="AE25" s="57"/>
    </row>
    <row r="26" spans="1:31">
      <c r="A26" s="66">
        <f t="shared" si="3"/>
        <v>168</v>
      </c>
      <c r="B26" s="84"/>
      <c r="C26" s="68">
        <v>102</v>
      </c>
      <c r="D26" s="69">
        <v>102</v>
      </c>
      <c r="E26" s="72">
        <v>0.5</v>
      </c>
      <c r="F26" s="102">
        <v>0.5</v>
      </c>
      <c r="G26" s="102">
        <v>0.5</v>
      </c>
      <c r="H26" s="102">
        <v>0.5</v>
      </c>
      <c r="I26" s="101">
        <v>0.5</v>
      </c>
      <c r="J26" s="234"/>
      <c r="K26" s="72">
        <v>26.18</v>
      </c>
      <c r="L26" s="73">
        <v>26.14</v>
      </c>
      <c r="M26" s="81"/>
      <c r="N26" s="82" t="s">
        <v>89</v>
      </c>
      <c r="O26" s="67"/>
      <c r="P26" s="75"/>
      <c r="Q26" s="83" t="s">
        <v>93</v>
      </c>
      <c r="R26" s="63">
        <v>17.8</v>
      </c>
      <c r="S26" s="64">
        <f t="shared" si="0"/>
        <v>13.341728128560293</v>
      </c>
      <c r="T26" s="143">
        <v>3</v>
      </c>
      <c r="V26" s="143">
        <f t="shared" si="4"/>
        <v>168</v>
      </c>
      <c r="W26" s="249">
        <f t="shared" si="1"/>
        <v>0</v>
      </c>
      <c r="X26" s="143">
        <f>IF(OR(ABS(E26-B!$C$6)&gt;(B!$C$6*0.1),ABS(F26-B!$C$6)&gt;(B!$C$6*0.1),ABS(G26-B!$C$6)&gt;(B!$C$6*0.1),ABS(H26-B!$C$6)&gt;(B!$C$6*0.1),ABS(I26-B!$C$6)&gt;(B!$C$6*0.1)),1,0)</f>
        <v>0</v>
      </c>
      <c r="Y26" s="143">
        <f>IF(OR(K26&gt;Cuts!$B$16, L26&gt;Cuts!B$16), 1,0)</f>
        <v>0</v>
      </c>
      <c r="Z26" s="246">
        <f>IF(OR(C26&gt;Cuts!$D$16, D26&gt;Cuts!$D$16),1,0)</f>
        <v>0</v>
      </c>
      <c r="AA26" s="306">
        <f t="shared" si="2"/>
        <v>0</v>
      </c>
      <c r="AB26" s="797"/>
      <c r="AC26" s="57"/>
      <c r="AD26" s="57"/>
      <c r="AE26" s="57"/>
    </row>
    <row r="27" spans="1:31">
      <c r="A27" s="66">
        <f t="shared" si="3"/>
        <v>169</v>
      </c>
      <c r="B27" s="84"/>
      <c r="C27" s="68">
        <v>102</v>
      </c>
      <c r="D27" s="69">
        <v>102</v>
      </c>
      <c r="E27" s="72">
        <v>0.52</v>
      </c>
      <c r="F27" s="102">
        <v>0.52</v>
      </c>
      <c r="G27" s="102">
        <v>0.52</v>
      </c>
      <c r="H27" s="102">
        <v>0.53</v>
      </c>
      <c r="I27" s="101">
        <v>0.53</v>
      </c>
      <c r="J27" s="234"/>
      <c r="K27" s="72">
        <v>26.15</v>
      </c>
      <c r="L27" s="73">
        <v>26.15</v>
      </c>
      <c r="M27" s="81" t="s">
        <v>89</v>
      </c>
      <c r="N27" s="82"/>
      <c r="O27" s="67"/>
      <c r="P27" s="75"/>
      <c r="Q27" s="84"/>
      <c r="R27" s="63">
        <v>19</v>
      </c>
      <c r="S27" s="64">
        <f t="shared" si="0"/>
        <v>13.594099645608976</v>
      </c>
      <c r="T27" s="143">
        <v>3</v>
      </c>
      <c r="V27" s="143">
        <f t="shared" si="4"/>
        <v>169</v>
      </c>
      <c r="W27" s="249">
        <f t="shared" si="1"/>
        <v>1.0000000000000009E-2</v>
      </c>
      <c r="X27" s="143">
        <f>IF(OR(ABS(E27-B!$C$6)&gt;(B!$C$6*0.1),ABS(F27-B!$C$6)&gt;(B!$C$6*0.1),ABS(G27-B!$C$6)&gt;(B!$C$6*0.1),ABS(H27-B!$C$6)&gt;(B!$C$6*0.1),ABS(I27-B!$C$6)&gt;(B!$C$6*0.1)),1,0)</f>
        <v>0</v>
      </c>
      <c r="Y27" s="143">
        <f>IF(OR(K27&gt;Cuts!$B$16, L27&gt;Cuts!B$16), 1,0)</f>
        <v>0</v>
      </c>
      <c r="Z27" s="246">
        <f>IF(OR(C27&gt;Cuts!$D$16, D27&gt;Cuts!$D$16),1,0)</f>
        <v>0</v>
      </c>
      <c r="AA27" s="306">
        <f t="shared" si="2"/>
        <v>0</v>
      </c>
      <c r="AB27" s="797"/>
      <c r="AC27" s="57"/>
      <c r="AD27" s="57"/>
      <c r="AE27" s="57"/>
    </row>
    <row r="28" spans="1:31">
      <c r="A28" s="66">
        <f t="shared" si="3"/>
        <v>170</v>
      </c>
      <c r="B28" s="84"/>
      <c r="C28" s="68">
        <v>102</v>
      </c>
      <c r="D28" s="69">
        <v>102</v>
      </c>
      <c r="E28" s="72">
        <v>0.5</v>
      </c>
      <c r="F28" s="102">
        <v>0.5</v>
      </c>
      <c r="G28" s="102">
        <v>0.5</v>
      </c>
      <c r="H28" s="102">
        <v>0.5</v>
      </c>
      <c r="I28" s="101">
        <v>0.5</v>
      </c>
      <c r="J28" s="234"/>
      <c r="K28" s="72">
        <v>26.04</v>
      </c>
      <c r="L28" s="73">
        <v>26.25</v>
      </c>
      <c r="M28" s="81"/>
      <c r="N28" s="82" t="s">
        <v>89</v>
      </c>
      <c r="O28" s="67"/>
      <c r="P28" s="75"/>
      <c r="Q28" s="84"/>
      <c r="R28" s="63">
        <v>17.8</v>
      </c>
      <c r="S28" s="64">
        <f t="shared" si="0"/>
        <v>13.349382591055162</v>
      </c>
      <c r="T28" s="143">
        <v>3</v>
      </c>
      <c r="V28" s="143">
        <f t="shared" si="4"/>
        <v>170</v>
      </c>
      <c r="W28" s="249">
        <f t="shared" si="1"/>
        <v>0</v>
      </c>
      <c r="X28" s="143">
        <f>IF(OR(ABS(E28-B!$C$6)&gt;(B!$C$6*0.1),ABS(F28-B!$C$6)&gt;(B!$C$6*0.1),ABS(G28-B!$C$6)&gt;(B!$C$6*0.1),ABS(H28-B!$C$6)&gt;(B!$C$6*0.1),ABS(I28-B!$C$6)&gt;(B!$C$6*0.1)),1,0)</f>
        <v>0</v>
      </c>
      <c r="Y28" s="143">
        <f>IF(OR(K28&gt;Cuts!$B$16, L28&gt;Cuts!B$16), 1,0)</f>
        <v>0</v>
      </c>
      <c r="Z28" s="246">
        <f>IF(OR(C28&gt;Cuts!$D$16, D28&gt;Cuts!$D$16),1,0)</f>
        <v>0</v>
      </c>
      <c r="AA28" s="306">
        <f t="shared" si="2"/>
        <v>0</v>
      </c>
      <c r="AB28" s="797"/>
      <c r="AC28" s="57"/>
      <c r="AD28" s="57"/>
      <c r="AE28" s="57"/>
    </row>
    <row r="29" spans="1:31">
      <c r="A29" s="66">
        <f t="shared" si="3"/>
        <v>171</v>
      </c>
      <c r="B29" s="84"/>
      <c r="C29" s="68">
        <v>102</v>
      </c>
      <c r="D29" s="69">
        <v>102</v>
      </c>
      <c r="E29" s="72">
        <v>0.5</v>
      </c>
      <c r="F29" s="102">
        <v>0.5</v>
      </c>
      <c r="G29" s="102">
        <v>0.5</v>
      </c>
      <c r="H29" s="102">
        <v>0.5</v>
      </c>
      <c r="I29" s="101">
        <v>0.49</v>
      </c>
      <c r="J29" s="234"/>
      <c r="K29" s="72">
        <v>26.21</v>
      </c>
      <c r="L29" s="73">
        <v>26.13</v>
      </c>
      <c r="M29" s="81"/>
      <c r="N29" s="82" t="s">
        <v>89</v>
      </c>
      <c r="O29" s="67"/>
      <c r="P29" s="75"/>
      <c r="Q29" s="83" t="s">
        <v>94</v>
      </c>
      <c r="R29" s="63">
        <v>18</v>
      </c>
      <c r="S29" s="64">
        <f t="shared" si="0"/>
        <v>13.540642373490453</v>
      </c>
      <c r="T29" s="143">
        <v>3</v>
      </c>
      <c r="V29" s="143">
        <f t="shared" si="4"/>
        <v>171</v>
      </c>
      <c r="W29" s="249">
        <f t="shared" si="1"/>
        <v>1.0000000000000009E-2</v>
      </c>
      <c r="X29" s="143">
        <f>IF(OR(ABS(E29-B!$C$6)&gt;(B!$C$6*0.1),ABS(F29-B!$C$6)&gt;(B!$C$6*0.1),ABS(G29-B!$C$6)&gt;(B!$C$6*0.1),ABS(H29-B!$C$6)&gt;(B!$C$6*0.1),ABS(I29-B!$C$6)&gt;(B!$C$6*0.1)),1,0)</f>
        <v>0</v>
      </c>
      <c r="Y29" s="143">
        <f>IF(OR(K29&gt;Cuts!$B$16, L29&gt;Cuts!B$16), 1,0)</f>
        <v>0</v>
      </c>
      <c r="Z29" s="246">
        <f>IF(OR(C29&gt;Cuts!$D$16, D29&gt;Cuts!$D$16),1,0)</f>
        <v>0</v>
      </c>
      <c r="AA29" s="306">
        <f t="shared" si="2"/>
        <v>0</v>
      </c>
      <c r="AB29" s="797"/>
      <c r="AC29" s="57"/>
      <c r="AD29" s="57"/>
      <c r="AE29" s="57"/>
    </row>
    <row r="30" spans="1:31">
      <c r="A30" s="171">
        <f t="shared" si="3"/>
        <v>172</v>
      </c>
      <c r="B30" s="84"/>
      <c r="C30" s="68">
        <v>102</v>
      </c>
      <c r="D30" s="69">
        <v>102</v>
      </c>
      <c r="E30" s="253">
        <v>0.49</v>
      </c>
      <c r="F30" s="165">
        <v>0.51</v>
      </c>
      <c r="G30" s="165">
        <v>0.5</v>
      </c>
      <c r="H30" s="165">
        <v>0.51</v>
      </c>
      <c r="I30" s="165">
        <v>0.51</v>
      </c>
      <c r="J30" s="234"/>
      <c r="K30" s="72">
        <v>26.08</v>
      </c>
      <c r="L30" s="73">
        <v>26.13</v>
      </c>
      <c r="M30" s="81" t="s">
        <v>88</v>
      </c>
      <c r="N30" s="82"/>
      <c r="O30" s="67"/>
      <c r="P30" s="75"/>
      <c r="Q30" s="83" t="s">
        <v>94</v>
      </c>
      <c r="R30" s="63">
        <v>18.100000000000001</v>
      </c>
      <c r="S30" s="64">
        <f t="shared" si="0"/>
        <v>13.487273647035698</v>
      </c>
      <c r="T30" s="143">
        <v>3</v>
      </c>
      <c r="V30" s="265">
        <f t="shared" si="4"/>
        <v>172</v>
      </c>
      <c r="W30" s="249">
        <f t="shared" si="1"/>
        <v>2.0000000000000018E-2</v>
      </c>
      <c r="X30" s="143">
        <f>IF(OR(ABS(E30-B!$C$6)&gt;(B!$C$6*0.1),ABS(F30-B!$C$6)&gt;(B!$C$6*0.1),ABS(G30-B!$C$6)&gt;(B!$C$6*0.1),ABS(H30-B!$C$6)&gt;(B!$C$6*0.1),ABS(I30-B!$C$6)&gt;(B!$C$6*0.1)),1,0)</f>
        <v>0</v>
      </c>
      <c r="Y30" s="143">
        <f>IF(OR(K30&gt;Cuts!$B$16, L30&gt;Cuts!B$16), 1,0)</f>
        <v>0</v>
      </c>
      <c r="Z30" s="246">
        <f>IF(OR(C30&gt;Cuts!$D$16, D30&gt;Cuts!$D$16),1,0)</f>
        <v>0</v>
      </c>
      <c r="AA30" s="306">
        <f t="shared" si="2"/>
        <v>1</v>
      </c>
      <c r="AB30" s="799" t="s">
        <v>633</v>
      </c>
      <c r="AC30" s="52">
        <v>0.47</v>
      </c>
      <c r="AD30" s="52">
        <v>0.5</v>
      </c>
      <c r="AE30" s="52">
        <v>0.5</v>
      </c>
    </row>
    <row r="31" spans="1:31">
      <c r="A31" s="66">
        <f t="shared" si="3"/>
        <v>173</v>
      </c>
      <c r="B31" s="84"/>
      <c r="C31" s="68">
        <v>102</v>
      </c>
      <c r="D31" s="69">
        <v>102</v>
      </c>
      <c r="E31" s="72">
        <v>0.52</v>
      </c>
      <c r="F31" s="102">
        <v>0.53</v>
      </c>
      <c r="G31" s="102">
        <v>0.53</v>
      </c>
      <c r="H31" s="102">
        <v>0.53</v>
      </c>
      <c r="I31" s="101">
        <v>0.52</v>
      </c>
      <c r="J31" s="234"/>
      <c r="K31" s="72">
        <v>26.19</v>
      </c>
      <c r="L31" s="73">
        <v>26.15</v>
      </c>
      <c r="M31" s="81" t="s">
        <v>88</v>
      </c>
      <c r="N31" s="82"/>
      <c r="O31" s="67"/>
      <c r="P31" s="75"/>
      <c r="Q31" s="84"/>
      <c r="R31" s="63">
        <v>18.899999999999999</v>
      </c>
      <c r="S31" s="64">
        <f t="shared" si="0"/>
        <v>13.460840108551633</v>
      </c>
      <c r="T31" s="143">
        <v>3</v>
      </c>
      <c r="V31" s="143">
        <f t="shared" si="4"/>
        <v>173</v>
      </c>
      <c r="W31" s="249">
        <f t="shared" si="1"/>
        <v>1.0000000000000009E-2</v>
      </c>
      <c r="X31" s="143">
        <f>IF(OR(ABS(E31-B!$C$6)&gt;(B!$C$6*0.1),ABS(F31-B!$C$6)&gt;(B!$C$6*0.1),ABS(G31-B!$C$6)&gt;(B!$C$6*0.1),ABS(H31-B!$C$6)&gt;(B!$C$6*0.1),ABS(I31-B!$C$6)&gt;(B!$C$6*0.1)),1,0)</f>
        <v>0</v>
      </c>
      <c r="Y31" s="143">
        <f>IF(OR(K31&gt;Cuts!$B$16, L31&gt;Cuts!B$16), 1,0)</f>
        <v>0</v>
      </c>
      <c r="Z31" s="246">
        <f>IF(OR(C31&gt;Cuts!$D$16, D31&gt;Cuts!$D$16),1,0)</f>
        <v>0</v>
      </c>
      <c r="AA31" s="306">
        <f t="shared" si="2"/>
        <v>1</v>
      </c>
      <c r="AB31" s="797"/>
      <c r="AC31" s="57"/>
      <c r="AD31" s="57"/>
      <c r="AE31" s="57"/>
    </row>
    <row r="32" spans="1:31">
      <c r="A32" s="66">
        <f t="shared" si="3"/>
        <v>174</v>
      </c>
      <c r="B32" s="84"/>
      <c r="C32" s="68">
        <v>102</v>
      </c>
      <c r="D32" s="69">
        <v>102</v>
      </c>
      <c r="E32" s="72">
        <v>0.52</v>
      </c>
      <c r="F32" s="102">
        <v>0.52</v>
      </c>
      <c r="G32" s="102">
        <v>0.52</v>
      </c>
      <c r="H32" s="102">
        <v>0.51</v>
      </c>
      <c r="I32" s="101">
        <v>0.52</v>
      </c>
      <c r="J32" s="234"/>
      <c r="K32" s="72">
        <v>26.19</v>
      </c>
      <c r="L32" s="73">
        <v>26.11</v>
      </c>
      <c r="M32" s="81" t="s">
        <v>88</v>
      </c>
      <c r="N32" s="82"/>
      <c r="O32" s="67"/>
      <c r="P32" s="75"/>
      <c r="Q32" s="83" t="s">
        <v>93</v>
      </c>
      <c r="R32" s="63">
        <v>18.600000000000001</v>
      </c>
      <c r="S32" s="64">
        <f t="shared" si="0"/>
        <v>13.462053727490687</v>
      </c>
      <c r="T32" s="143">
        <v>3</v>
      </c>
      <c r="V32" s="143">
        <f t="shared" si="4"/>
        <v>174</v>
      </c>
      <c r="W32" s="249">
        <f t="shared" si="1"/>
        <v>1.0000000000000009E-2</v>
      </c>
      <c r="X32" s="143">
        <f>IF(OR(ABS(E32-B!$C$6)&gt;(B!$C$6*0.1),ABS(F32-B!$C$6)&gt;(B!$C$6*0.1),ABS(G32-B!$C$6)&gt;(B!$C$6*0.1),ABS(H32-B!$C$6)&gt;(B!$C$6*0.1),ABS(I32-B!$C$6)&gt;(B!$C$6*0.1)),1,0)</f>
        <v>0</v>
      </c>
      <c r="Y32" s="143">
        <f>IF(OR(K32&gt;Cuts!$B$16, L32&gt;Cuts!B$16), 1,0)</f>
        <v>0</v>
      </c>
      <c r="Z32" s="246">
        <f>IF(OR(C32&gt;Cuts!$D$16, D32&gt;Cuts!$D$16),1,0)</f>
        <v>0</v>
      </c>
      <c r="AA32" s="306">
        <f t="shared" si="2"/>
        <v>1</v>
      </c>
      <c r="AB32" s="797"/>
      <c r="AC32" s="57"/>
      <c r="AD32" s="57"/>
      <c r="AE32" s="57"/>
    </row>
    <row r="33" spans="1:31">
      <c r="A33" s="66">
        <f t="shared" si="3"/>
        <v>175</v>
      </c>
      <c r="B33" s="84"/>
      <c r="C33" s="68">
        <v>102</v>
      </c>
      <c r="D33" s="69">
        <v>102</v>
      </c>
      <c r="E33" s="72">
        <v>0.51</v>
      </c>
      <c r="F33" s="102">
        <v>0.51</v>
      </c>
      <c r="G33" s="102">
        <v>0.51</v>
      </c>
      <c r="H33" s="102">
        <v>0.51</v>
      </c>
      <c r="I33" s="101">
        <v>0.51</v>
      </c>
      <c r="J33" s="234"/>
      <c r="K33" s="72">
        <v>26.17</v>
      </c>
      <c r="L33" s="73">
        <v>26.2</v>
      </c>
      <c r="M33" s="81"/>
      <c r="N33" s="82"/>
      <c r="O33" s="67"/>
      <c r="P33" s="75"/>
      <c r="Q33" s="83" t="s">
        <v>94</v>
      </c>
      <c r="R33" s="63">
        <v>18.399999999999999</v>
      </c>
      <c r="S33" s="64">
        <f t="shared" si="0"/>
        <v>13.508119591200249</v>
      </c>
      <c r="T33" s="143">
        <v>3</v>
      </c>
      <c r="V33" s="143">
        <f t="shared" si="4"/>
        <v>175</v>
      </c>
      <c r="W33" s="249">
        <f t="shared" si="1"/>
        <v>0</v>
      </c>
      <c r="X33" s="143">
        <f>IF(OR(ABS(E33-B!$C$6)&gt;(B!$C$6*0.1),ABS(F33-B!$C$6)&gt;(B!$C$6*0.1),ABS(G33-B!$C$6)&gt;(B!$C$6*0.1),ABS(H33-B!$C$6)&gt;(B!$C$6*0.1),ABS(I33-B!$C$6)&gt;(B!$C$6*0.1)),1,0)</f>
        <v>0</v>
      </c>
      <c r="Y33" s="143">
        <f>IF(OR(K33&gt;Cuts!$B$16, L33&gt;Cuts!B$16), 1,0)</f>
        <v>0</v>
      </c>
      <c r="Z33" s="246">
        <f>IF(OR(C33&gt;Cuts!$D$16, D33&gt;Cuts!$D$16),1,0)</f>
        <v>0</v>
      </c>
      <c r="AA33" s="306">
        <f t="shared" si="2"/>
        <v>0</v>
      </c>
      <c r="AB33" s="797"/>
      <c r="AC33" s="57"/>
      <c r="AD33" s="57"/>
      <c r="AE33" s="57"/>
    </row>
    <row r="34" spans="1:31">
      <c r="A34" s="66">
        <f t="shared" si="3"/>
        <v>176</v>
      </c>
      <c r="B34" s="84"/>
      <c r="C34" s="68">
        <v>102</v>
      </c>
      <c r="D34" s="69">
        <v>102</v>
      </c>
      <c r="E34" s="72">
        <v>0.52</v>
      </c>
      <c r="F34" s="102">
        <v>0.52</v>
      </c>
      <c r="G34" s="102">
        <v>0.51</v>
      </c>
      <c r="H34" s="102">
        <v>0.52</v>
      </c>
      <c r="I34" s="101">
        <v>0.52</v>
      </c>
      <c r="J34" s="234"/>
      <c r="K34" s="72">
        <v>26.18</v>
      </c>
      <c r="L34" s="73">
        <v>26.17</v>
      </c>
      <c r="M34" s="81" t="s">
        <v>89</v>
      </c>
      <c r="N34" s="82"/>
      <c r="O34" s="67"/>
      <c r="P34" s="75"/>
      <c r="Q34" s="84"/>
      <c r="R34" s="63">
        <v>18.5</v>
      </c>
      <c r="S34" s="64">
        <f t="shared" si="0"/>
        <v>13.376888482231481</v>
      </c>
      <c r="T34" s="143">
        <v>3</v>
      </c>
      <c r="V34" s="143">
        <f t="shared" si="4"/>
        <v>176</v>
      </c>
      <c r="W34" s="249">
        <f t="shared" si="1"/>
        <v>1.0000000000000009E-2</v>
      </c>
      <c r="X34" s="143">
        <f>IF(OR(ABS(E34-B!$C$6)&gt;(B!$C$6*0.1),ABS(F34-B!$C$6)&gt;(B!$C$6*0.1),ABS(G34-B!$C$6)&gt;(B!$C$6*0.1),ABS(H34-B!$C$6)&gt;(B!$C$6*0.1),ABS(I34-B!$C$6)&gt;(B!$C$6*0.1)),1,0)</f>
        <v>0</v>
      </c>
      <c r="Y34" s="143">
        <f>IF(OR(K34&gt;Cuts!$B$16, L34&gt;Cuts!B$16), 1,0)</f>
        <v>0</v>
      </c>
      <c r="Z34" s="246">
        <f>IF(OR(C34&gt;Cuts!$D$16, D34&gt;Cuts!$D$16),1,0)</f>
        <v>0</v>
      </c>
      <c r="AA34" s="306">
        <f t="shared" si="2"/>
        <v>0</v>
      </c>
      <c r="AB34" s="797"/>
      <c r="AC34" s="57"/>
      <c r="AD34" s="57"/>
      <c r="AE34" s="57"/>
    </row>
    <row r="35" spans="1:31">
      <c r="A35" s="66">
        <f t="shared" si="3"/>
        <v>177</v>
      </c>
      <c r="B35" s="84"/>
      <c r="C35" s="68">
        <v>102</v>
      </c>
      <c r="D35" s="69">
        <v>102</v>
      </c>
      <c r="E35" s="72">
        <v>0.49</v>
      </c>
      <c r="F35" s="102">
        <v>0.49</v>
      </c>
      <c r="G35" s="102">
        <v>0.5</v>
      </c>
      <c r="H35" s="102">
        <v>0.49</v>
      </c>
      <c r="I35" s="101">
        <v>0.49</v>
      </c>
      <c r="J35" s="234"/>
      <c r="K35" s="72">
        <v>26.25</v>
      </c>
      <c r="L35" s="73">
        <v>26.13</v>
      </c>
      <c r="M35" s="81" t="s">
        <v>89</v>
      </c>
      <c r="N35" s="82" t="s">
        <v>89</v>
      </c>
      <c r="O35" s="67"/>
      <c r="P35" s="75"/>
      <c r="Q35" s="84"/>
      <c r="R35" s="63">
        <v>17.600000000000001</v>
      </c>
      <c r="S35" s="64">
        <f t="shared" si="0"/>
        <v>13.390965614617629</v>
      </c>
      <c r="T35" s="143">
        <v>3</v>
      </c>
      <c r="V35" s="143">
        <f t="shared" si="4"/>
        <v>177</v>
      </c>
      <c r="W35" s="249">
        <f t="shared" si="1"/>
        <v>1.0000000000000009E-2</v>
      </c>
      <c r="X35" s="143">
        <f>IF(OR(ABS(E35-B!$C$6)&gt;(B!$C$6*0.1),ABS(F35-B!$C$6)&gt;(B!$C$6*0.1),ABS(G35-B!$C$6)&gt;(B!$C$6*0.1),ABS(H35-B!$C$6)&gt;(B!$C$6*0.1),ABS(I35-B!$C$6)&gt;(B!$C$6*0.1)),1,0)</f>
        <v>0</v>
      </c>
      <c r="Y35" s="143">
        <f>IF(OR(K35&gt;Cuts!$B$16, L35&gt;Cuts!B$16), 1,0)</f>
        <v>0</v>
      </c>
      <c r="Z35" s="246">
        <f>IF(OR(C35&gt;Cuts!$D$16, D35&gt;Cuts!$D$16),1,0)</f>
        <v>0</v>
      </c>
      <c r="AA35" s="306">
        <f t="shared" si="2"/>
        <v>0</v>
      </c>
      <c r="AB35" s="797"/>
      <c r="AC35" s="57"/>
      <c r="AD35" s="57"/>
      <c r="AE35" s="57"/>
    </row>
    <row r="36" spans="1:31">
      <c r="A36" s="171">
        <f t="shared" si="3"/>
        <v>178</v>
      </c>
      <c r="B36" s="84"/>
      <c r="C36" s="68">
        <v>103</v>
      </c>
      <c r="D36" s="69">
        <v>103</v>
      </c>
      <c r="E36" s="72">
        <v>0.53</v>
      </c>
      <c r="F36" s="102">
        <v>0.53</v>
      </c>
      <c r="G36" s="102">
        <v>0.53</v>
      </c>
      <c r="H36" s="102">
        <v>0.53</v>
      </c>
      <c r="I36" s="101">
        <v>0.54</v>
      </c>
      <c r="J36" s="234"/>
      <c r="K36" s="72">
        <v>26.17</v>
      </c>
      <c r="L36" s="73">
        <v>26.2</v>
      </c>
      <c r="M36" s="81"/>
      <c r="N36" s="82"/>
      <c r="O36" s="67"/>
      <c r="P36" s="75"/>
      <c r="Q36" s="84"/>
      <c r="R36" s="63">
        <v>19</v>
      </c>
      <c r="S36" s="64">
        <f t="shared" si="0"/>
        <v>13.241956769248571</v>
      </c>
      <c r="T36" s="143">
        <v>3</v>
      </c>
      <c r="V36" s="265">
        <f t="shared" si="4"/>
        <v>178</v>
      </c>
      <c r="W36" s="249">
        <f t="shared" si="1"/>
        <v>1.0000000000000009E-2</v>
      </c>
      <c r="X36" s="143">
        <f>IF(OR(ABS(E36-B!$C$6)&gt;(B!$C$6*0.1),ABS(F36-B!$C$6)&gt;(B!$C$6*0.1),ABS(G36-B!$C$6)&gt;(B!$C$6*0.1),ABS(H36-B!$C$6)&gt;(B!$C$6*0.1),ABS(I36-B!$C$6)&gt;(B!$C$6*0.1)),1,0)</f>
        <v>0</v>
      </c>
      <c r="Y36" s="143">
        <f>IF(OR(K36&gt;Cuts!$B$16, L36&gt;Cuts!B$16), 1,0)</f>
        <v>0</v>
      </c>
      <c r="Z36" s="246">
        <f>IF(OR(C36&gt;Cuts!$D$16, D36&gt;Cuts!$D$16),1,0)</f>
        <v>0</v>
      </c>
      <c r="AA36" s="306">
        <f t="shared" si="2"/>
        <v>0</v>
      </c>
      <c r="AB36" s="799" t="s">
        <v>634</v>
      </c>
      <c r="AC36" s="57"/>
      <c r="AD36" s="57"/>
      <c r="AE36" s="57"/>
    </row>
    <row r="37" spans="1:31">
      <c r="A37" s="66">
        <f t="shared" si="3"/>
        <v>179</v>
      </c>
      <c r="B37" s="84"/>
      <c r="C37" s="68">
        <v>102</v>
      </c>
      <c r="D37" s="69">
        <v>102</v>
      </c>
      <c r="E37" s="72">
        <v>0.53</v>
      </c>
      <c r="F37" s="102">
        <v>0.53</v>
      </c>
      <c r="G37" s="102">
        <v>0.52</v>
      </c>
      <c r="H37" s="102">
        <v>0.52</v>
      </c>
      <c r="I37" s="101">
        <v>0.52</v>
      </c>
      <c r="J37" s="234"/>
      <c r="K37" s="72">
        <v>26.26</v>
      </c>
      <c r="L37" s="73">
        <v>26.2</v>
      </c>
      <c r="M37" s="81"/>
      <c r="N37" s="82" t="s">
        <v>89</v>
      </c>
      <c r="O37" s="67"/>
      <c r="P37" s="75"/>
      <c r="Q37" s="84"/>
      <c r="R37" s="63">
        <v>18.3</v>
      </c>
      <c r="S37" s="64">
        <f t="shared" si="0"/>
        <v>13.053330687858315</v>
      </c>
      <c r="T37" s="143">
        <v>3</v>
      </c>
      <c r="V37" s="143">
        <f t="shared" si="4"/>
        <v>179</v>
      </c>
      <c r="W37" s="249">
        <f t="shared" si="1"/>
        <v>1.0000000000000009E-2</v>
      </c>
      <c r="X37" s="143">
        <f>IF(OR(ABS(E37-B!$C$6)&gt;(B!$C$6*0.1),ABS(F37-B!$C$6)&gt;(B!$C$6*0.1),ABS(G37-B!$C$6)&gt;(B!$C$6*0.1),ABS(H37-B!$C$6)&gt;(B!$C$6*0.1),ABS(I37-B!$C$6)&gt;(B!$C$6*0.1)),1,0)</f>
        <v>0</v>
      </c>
      <c r="Y37" s="143">
        <f>IF(OR(K37&gt;Cuts!$B$16, L37&gt;Cuts!B$16), 1,0)</f>
        <v>0</v>
      </c>
      <c r="Z37" s="246">
        <f>IF(OR(C37&gt;Cuts!$D$16, D37&gt;Cuts!$D$16),1,0)</f>
        <v>0</v>
      </c>
      <c r="AA37" s="306">
        <f t="shared" si="2"/>
        <v>0</v>
      </c>
      <c r="AB37" s="797"/>
      <c r="AC37" s="57"/>
      <c r="AD37" s="57"/>
      <c r="AE37" s="57"/>
    </row>
    <row r="38" spans="1:31">
      <c r="A38" s="66">
        <f t="shared" si="3"/>
        <v>180</v>
      </c>
      <c r="B38" s="84"/>
      <c r="C38" s="68">
        <v>102</v>
      </c>
      <c r="D38" s="69">
        <v>102</v>
      </c>
      <c r="E38" s="72">
        <v>0.53</v>
      </c>
      <c r="F38" s="102">
        <v>0.53</v>
      </c>
      <c r="G38" s="102">
        <v>0.53</v>
      </c>
      <c r="H38" s="102">
        <v>0.53</v>
      </c>
      <c r="I38" s="101">
        <v>0.53</v>
      </c>
      <c r="J38" s="234"/>
      <c r="K38" s="72">
        <v>26.17</v>
      </c>
      <c r="L38" s="73">
        <v>26.22</v>
      </c>
      <c r="M38" s="81" t="s">
        <v>89</v>
      </c>
      <c r="N38" s="82"/>
      <c r="O38" s="67"/>
      <c r="P38" s="75"/>
      <c r="Q38" s="84"/>
      <c r="R38" s="63">
        <v>18.7</v>
      </c>
      <c r="S38" s="64">
        <f t="shared" si="0"/>
        <v>13.205266260184558</v>
      </c>
      <c r="T38" s="143">
        <v>3</v>
      </c>
      <c r="V38" s="143">
        <f t="shared" si="4"/>
        <v>180</v>
      </c>
      <c r="W38" s="249">
        <f t="shared" si="1"/>
        <v>0</v>
      </c>
      <c r="X38" s="143">
        <f>IF(OR(ABS(E38-B!$C$6)&gt;(B!$C$6*0.1),ABS(F38-B!$C$6)&gt;(B!$C$6*0.1),ABS(G38-B!$C$6)&gt;(B!$C$6*0.1),ABS(H38-B!$C$6)&gt;(B!$C$6*0.1),ABS(I38-B!$C$6)&gt;(B!$C$6*0.1)),1,0)</f>
        <v>0</v>
      </c>
      <c r="Y38" s="143">
        <f>IF(OR(K38&gt;Cuts!$B$16, L38&gt;Cuts!B$16), 1,0)</f>
        <v>0</v>
      </c>
      <c r="Z38" s="246">
        <f>IF(OR(C38&gt;Cuts!$D$16, D38&gt;Cuts!$D$16),1,0)</f>
        <v>0</v>
      </c>
      <c r="AA38" s="306">
        <f t="shared" si="2"/>
        <v>0</v>
      </c>
      <c r="AB38" s="797"/>
      <c r="AC38" s="57"/>
      <c r="AD38" s="57"/>
      <c r="AE38" s="57"/>
    </row>
    <row r="39" spans="1:31">
      <c r="A39" s="66">
        <f t="shared" si="3"/>
        <v>181</v>
      </c>
      <c r="B39" s="84"/>
      <c r="C39" s="68">
        <v>102</v>
      </c>
      <c r="D39" s="69">
        <v>102</v>
      </c>
      <c r="E39" s="72">
        <v>0.53</v>
      </c>
      <c r="F39" s="102">
        <v>0.53</v>
      </c>
      <c r="G39" s="102">
        <v>0.53</v>
      </c>
      <c r="H39" s="102">
        <v>0.53</v>
      </c>
      <c r="I39" s="101">
        <v>0.53</v>
      </c>
      <c r="J39" s="234"/>
      <c r="K39" s="72">
        <v>26.18</v>
      </c>
      <c r="L39" s="73">
        <v>26.13</v>
      </c>
      <c r="M39" s="81" t="s">
        <v>88</v>
      </c>
      <c r="N39" s="82"/>
      <c r="O39" s="67"/>
      <c r="P39" s="75"/>
      <c r="Q39" s="84"/>
      <c r="R39" s="63">
        <v>18.7</v>
      </c>
      <c r="S39" s="64">
        <f t="shared" si="0"/>
        <v>13.225461658785491</v>
      </c>
      <c r="T39" s="143">
        <v>3</v>
      </c>
      <c r="V39" s="143">
        <f t="shared" si="4"/>
        <v>181</v>
      </c>
      <c r="W39" s="249">
        <f t="shared" si="1"/>
        <v>0</v>
      </c>
      <c r="X39" s="143">
        <f>IF(OR(ABS(E39-B!$C$6)&gt;(B!$C$6*0.1),ABS(F39-B!$C$6)&gt;(B!$C$6*0.1),ABS(G39-B!$C$6)&gt;(B!$C$6*0.1),ABS(H39-B!$C$6)&gt;(B!$C$6*0.1),ABS(I39-B!$C$6)&gt;(B!$C$6*0.1)),1,0)</f>
        <v>0</v>
      </c>
      <c r="Y39" s="143">
        <f>IF(OR(K39&gt;Cuts!$B$16, L39&gt;Cuts!B$16), 1,0)</f>
        <v>0</v>
      </c>
      <c r="Z39" s="246">
        <f>IF(OR(C39&gt;Cuts!$D$16, D39&gt;Cuts!$D$16),1,0)</f>
        <v>0</v>
      </c>
      <c r="AA39" s="306">
        <f t="shared" si="2"/>
        <v>1</v>
      </c>
      <c r="AB39" s="797"/>
      <c r="AC39" s="57"/>
      <c r="AD39" s="57"/>
      <c r="AE39" s="57"/>
    </row>
    <row r="40" spans="1:31">
      <c r="A40" s="66">
        <f t="shared" si="3"/>
        <v>182</v>
      </c>
      <c r="B40" s="84"/>
      <c r="C40" s="68">
        <v>102</v>
      </c>
      <c r="D40" s="69">
        <v>102</v>
      </c>
      <c r="E40" s="72">
        <v>0.51</v>
      </c>
      <c r="F40" s="102">
        <v>0.52</v>
      </c>
      <c r="G40" s="102">
        <v>0.52</v>
      </c>
      <c r="H40" s="102">
        <v>0.51</v>
      </c>
      <c r="I40" s="101">
        <v>0.51</v>
      </c>
      <c r="J40" s="234"/>
      <c r="K40" s="72">
        <v>26.14</v>
      </c>
      <c r="L40" s="73">
        <v>26.24</v>
      </c>
      <c r="M40" s="81"/>
      <c r="N40" s="82" t="s">
        <v>89</v>
      </c>
      <c r="O40" s="67"/>
      <c r="P40" s="75"/>
      <c r="Q40" s="84"/>
      <c r="R40" s="63">
        <v>18.2</v>
      </c>
      <c r="S40" s="64">
        <f t="shared" si="0"/>
        <v>13.254782289035646</v>
      </c>
      <c r="T40" s="143">
        <v>3</v>
      </c>
      <c r="V40" s="143">
        <f t="shared" si="4"/>
        <v>182</v>
      </c>
      <c r="W40" s="249">
        <f t="shared" si="1"/>
        <v>1.0000000000000009E-2</v>
      </c>
      <c r="X40" s="143">
        <f>IF(OR(ABS(E40-B!$C$6)&gt;(B!$C$6*0.1),ABS(F40-B!$C$6)&gt;(B!$C$6*0.1),ABS(G40-B!$C$6)&gt;(B!$C$6*0.1),ABS(H40-B!$C$6)&gt;(B!$C$6*0.1),ABS(I40-B!$C$6)&gt;(B!$C$6*0.1)),1,0)</f>
        <v>0</v>
      </c>
      <c r="Y40" s="143">
        <f>IF(OR(K40&gt;Cuts!$B$16, L40&gt;Cuts!B$16), 1,0)</f>
        <v>0</v>
      </c>
      <c r="Z40" s="246">
        <f>IF(OR(C40&gt;Cuts!$D$16, D40&gt;Cuts!$D$16),1,0)</f>
        <v>0</v>
      </c>
      <c r="AA40" s="306">
        <f t="shared" si="2"/>
        <v>0</v>
      </c>
      <c r="AB40" s="797"/>
      <c r="AC40" s="57"/>
      <c r="AD40" s="57"/>
      <c r="AE40" s="57"/>
    </row>
    <row r="41" spans="1:31">
      <c r="A41" s="66">
        <f t="shared" si="3"/>
        <v>183</v>
      </c>
      <c r="B41" s="84"/>
      <c r="C41" s="68">
        <v>102</v>
      </c>
      <c r="D41" s="69">
        <v>102</v>
      </c>
      <c r="E41" s="72">
        <v>0.52</v>
      </c>
      <c r="F41" s="102">
        <v>0.52</v>
      </c>
      <c r="G41" s="102">
        <v>0.51</v>
      </c>
      <c r="H41" s="102">
        <v>0.51</v>
      </c>
      <c r="I41" s="101">
        <v>0.51</v>
      </c>
      <c r="J41" s="234"/>
      <c r="K41" s="72">
        <v>26.11</v>
      </c>
      <c r="L41" s="73">
        <v>26.14</v>
      </c>
      <c r="M41" s="81"/>
      <c r="N41" s="82"/>
      <c r="O41" s="67"/>
      <c r="P41" s="75"/>
      <c r="Q41" s="84"/>
      <c r="R41" s="63">
        <v>18.600000000000001</v>
      </c>
      <c r="S41" s="64">
        <f t="shared" si="0"/>
        <v>13.579799391318346</v>
      </c>
      <c r="T41" s="143">
        <v>3</v>
      </c>
      <c r="V41" s="143">
        <f t="shared" si="4"/>
        <v>183</v>
      </c>
      <c r="W41" s="249">
        <f t="shared" si="1"/>
        <v>1.0000000000000009E-2</v>
      </c>
      <c r="X41" s="143">
        <f>IF(OR(ABS(E41-B!$C$6)&gt;(B!$C$6*0.1),ABS(F41-B!$C$6)&gt;(B!$C$6*0.1),ABS(G41-B!$C$6)&gt;(B!$C$6*0.1),ABS(H41-B!$C$6)&gt;(B!$C$6*0.1),ABS(I41-B!$C$6)&gt;(B!$C$6*0.1)),1,0)</f>
        <v>0</v>
      </c>
      <c r="Y41" s="143">
        <f>IF(OR(K41&gt;Cuts!$B$16, L41&gt;Cuts!B$16), 1,0)</f>
        <v>0</v>
      </c>
      <c r="Z41" s="246">
        <f>IF(OR(C41&gt;Cuts!$D$16, D41&gt;Cuts!$D$16),1,0)</f>
        <v>0</v>
      </c>
      <c r="AA41" s="306">
        <f t="shared" si="2"/>
        <v>0</v>
      </c>
      <c r="AB41" s="797"/>
      <c r="AC41" s="57"/>
      <c r="AD41" s="57"/>
      <c r="AE41" s="57"/>
    </row>
    <row r="42" spans="1:31">
      <c r="A42" s="66">
        <f t="shared" si="3"/>
        <v>184</v>
      </c>
      <c r="B42" s="84"/>
      <c r="C42" s="68">
        <v>102</v>
      </c>
      <c r="D42" s="69">
        <v>102</v>
      </c>
      <c r="E42" s="72">
        <v>0.51</v>
      </c>
      <c r="F42" s="102">
        <v>0.51</v>
      </c>
      <c r="G42" s="102">
        <v>0.51</v>
      </c>
      <c r="H42" s="102">
        <v>0.51</v>
      </c>
      <c r="I42" s="101">
        <v>0.5</v>
      </c>
      <c r="J42" s="234"/>
      <c r="K42" s="72">
        <v>26.15</v>
      </c>
      <c r="L42" s="73">
        <v>26.11</v>
      </c>
      <c r="M42" s="81" t="s">
        <v>89</v>
      </c>
      <c r="N42" s="82"/>
      <c r="O42" s="67"/>
      <c r="P42" s="75"/>
      <c r="Q42" s="84"/>
      <c r="R42" s="63">
        <v>18.100000000000001</v>
      </c>
      <c r="S42" s="64">
        <f t="shared" si="0"/>
        <v>13.36827223604546</v>
      </c>
      <c r="T42" s="143">
        <v>3</v>
      </c>
      <c r="V42" s="143">
        <f t="shared" si="4"/>
        <v>184</v>
      </c>
      <c r="W42" s="249">
        <f t="shared" si="1"/>
        <v>1.0000000000000009E-2</v>
      </c>
      <c r="X42" s="143">
        <f>IF(OR(ABS(E42-B!$C$6)&gt;(B!$C$6*0.1),ABS(F42-B!$C$6)&gt;(B!$C$6*0.1),ABS(G42-B!$C$6)&gt;(B!$C$6*0.1),ABS(H42-B!$C$6)&gt;(B!$C$6*0.1),ABS(I42-B!$C$6)&gt;(B!$C$6*0.1)),1,0)</f>
        <v>0</v>
      </c>
      <c r="Y42" s="143">
        <f>IF(OR(K42&gt;Cuts!$B$16, L42&gt;Cuts!B$16), 1,0)</f>
        <v>0</v>
      </c>
      <c r="Z42" s="246">
        <f>IF(OR(C42&gt;Cuts!$D$16, D42&gt;Cuts!$D$16),1,0)</f>
        <v>0</v>
      </c>
      <c r="AA42" s="306">
        <f t="shared" si="2"/>
        <v>0</v>
      </c>
      <c r="AB42" s="797"/>
      <c r="AC42" s="57"/>
      <c r="AD42" s="57"/>
      <c r="AE42" s="57"/>
    </row>
    <row r="43" spans="1:31">
      <c r="A43" s="66">
        <f t="shared" si="3"/>
        <v>185</v>
      </c>
      <c r="B43" s="84"/>
      <c r="C43" s="68">
        <v>102</v>
      </c>
      <c r="D43" s="69">
        <v>102</v>
      </c>
      <c r="E43" s="72">
        <v>0.52</v>
      </c>
      <c r="F43" s="102">
        <v>0.52</v>
      </c>
      <c r="G43" s="102">
        <v>0.52</v>
      </c>
      <c r="H43" s="102">
        <v>0.51</v>
      </c>
      <c r="I43" s="101">
        <v>0.51</v>
      </c>
      <c r="J43" s="234"/>
      <c r="K43" s="72">
        <v>26.15</v>
      </c>
      <c r="L43" s="73">
        <v>26.19</v>
      </c>
      <c r="M43" s="81"/>
      <c r="N43" s="82" t="s">
        <v>89</v>
      </c>
      <c r="O43" s="67"/>
      <c r="P43" s="75"/>
      <c r="Q43" s="84"/>
      <c r="R43" s="63">
        <v>18.2</v>
      </c>
      <c r="S43" s="64">
        <f t="shared" si="0"/>
        <v>13.213497654647725</v>
      </c>
      <c r="T43" s="143">
        <v>3</v>
      </c>
      <c r="V43" s="143">
        <f t="shared" si="4"/>
        <v>185</v>
      </c>
      <c r="W43" s="249">
        <f t="shared" si="1"/>
        <v>1.0000000000000009E-2</v>
      </c>
      <c r="X43" s="143">
        <f>IF(OR(ABS(E43-B!$C$6)&gt;(B!$C$6*0.1),ABS(F43-B!$C$6)&gt;(B!$C$6*0.1),ABS(G43-B!$C$6)&gt;(B!$C$6*0.1),ABS(H43-B!$C$6)&gt;(B!$C$6*0.1),ABS(I43-B!$C$6)&gt;(B!$C$6*0.1)),1,0)</f>
        <v>0</v>
      </c>
      <c r="Y43" s="143">
        <f>IF(OR(K43&gt;Cuts!$B$16, L43&gt;Cuts!B$16), 1,0)</f>
        <v>0</v>
      </c>
      <c r="Z43" s="246">
        <f>IF(OR(C43&gt;Cuts!$D$16, D43&gt;Cuts!$D$16),1,0)</f>
        <v>0</v>
      </c>
      <c r="AA43" s="306">
        <f t="shared" si="2"/>
        <v>0</v>
      </c>
      <c r="AB43" s="797"/>
      <c r="AC43" s="57"/>
      <c r="AD43" s="57"/>
      <c r="AE43" s="57"/>
    </row>
    <row r="44" spans="1:31">
      <c r="A44" s="66">
        <f t="shared" si="3"/>
        <v>186</v>
      </c>
      <c r="B44" s="84"/>
      <c r="C44" s="68">
        <v>102</v>
      </c>
      <c r="D44" s="69">
        <v>102</v>
      </c>
      <c r="E44" s="72">
        <v>0.51</v>
      </c>
      <c r="F44" s="102">
        <v>0.52</v>
      </c>
      <c r="G44" s="102">
        <v>0.52</v>
      </c>
      <c r="H44" s="102">
        <v>0.52</v>
      </c>
      <c r="I44" s="101">
        <v>0.52</v>
      </c>
      <c r="J44" s="234"/>
      <c r="K44" s="72">
        <v>26.17</v>
      </c>
      <c r="L44" s="73">
        <v>26.09</v>
      </c>
      <c r="M44" s="81"/>
      <c r="N44" s="82" t="s">
        <v>89</v>
      </c>
      <c r="O44" s="67"/>
      <c r="P44" s="75"/>
      <c r="Q44" s="84"/>
      <c r="R44" s="63">
        <v>18.2</v>
      </c>
      <c r="S44" s="64">
        <f t="shared" si="0"/>
        <v>13.182629512743645</v>
      </c>
      <c r="T44" s="143">
        <v>3</v>
      </c>
      <c r="V44" s="143">
        <f t="shared" si="4"/>
        <v>186</v>
      </c>
      <c r="W44" s="249">
        <f t="shared" si="1"/>
        <v>1.0000000000000009E-2</v>
      </c>
      <c r="X44" s="143">
        <f>IF(OR(ABS(E44-B!$C$6)&gt;(B!$C$6*0.1),ABS(F44-B!$C$6)&gt;(B!$C$6*0.1),ABS(G44-B!$C$6)&gt;(B!$C$6*0.1),ABS(H44-B!$C$6)&gt;(B!$C$6*0.1),ABS(I44-B!$C$6)&gt;(B!$C$6*0.1)),1,0)</f>
        <v>0</v>
      </c>
      <c r="Y44" s="143">
        <f>IF(OR(K44&gt;Cuts!$B$16, L44&gt;Cuts!B$16), 1,0)</f>
        <v>0</v>
      </c>
      <c r="Z44" s="246">
        <f>IF(OR(C44&gt;Cuts!$D$16, D44&gt;Cuts!$D$16),1,0)</f>
        <v>0</v>
      </c>
      <c r="AA44" s="306">
        <f t="shared" si="2"/>
        <v>0</v>
      </c>
      <c r="AB44" s="797"/>
      <c r="AC44" s="57"/>
      <c r="AD44" s="57"/>
      <c r="AE44" s="57"/>
    </row>
    <row r="45" spans="1:31">
      <c r="A45" s="66">
        <f t="shared" si="3"/>
        <v>187</v>
      </c>
      <c r="B45" s="84"/>
      <c r="C45" s="68">
        <v>102</v>
      </c>
      <c r="D45" s="69">
        <v>102</v>
      </c>
      <c r="E45" s="72">
        <v>0.53</v>
      </c>
      <c r="F45" s="102">
        <v>0.53</v>
      </c>
      <c r="G45" s="102">
        <v>0.53</v>
      </c>
      <c r="H45" s="102">
        <v>0.53</v>
      </c>
      <c r="I45" s="101">
        <v>0.53</v>
      </c>
      <c r="J45" s="234"/>
      <c r="K45" s="72">
        <v>26.15</v>
      </c>
      <c r="L45" s="73">
        <v>26.16</v>
      </c>
      <c r="M45" s="81"/>
      <c r="N45" s="82" t="s">
        <v>89</v>
      </c>
      <c r="O45" s="67"/>
      <c r="P45" s="75"/>
      <c r="Q45" s="84"/>
      <c r="R45" s="63">
        <v>18.7</v>
      </c>
      <c r="S45" s="64">
        <f t="shared" si="0"/>
        <v>13.225461658785491</v>
      </c>
      <c r="T45" s="143">
        <v>3</v>
      </c>
      <c r="V45" s="143">
        <f t="shared" si="4"/>
        <v>187</v>
      </c>
      <c r="W45" s="249">
        <f t="shared" si="1"/>
        <v>0</v>
      </c>
      <c r="X45" s="143">
        <f>IF(OR(ABS(E45-B!$C$6)&gt;(B!$C$6*0.1),ABS(F45-B!$C$6)&gt;(B!$C$6*0.1),ABS(G45-B!$C$6)&gt;(B!$C$6*0.1),ABS(H45-B!$C$6)&gt;(B!$C$6*0.1),ABS(I45-B!$C$6)&gt;(B!$C$6*0.1)),1,0)</f>
        <v>0</v>
      </c>
      <c r="Y45" s="143">
        <f>IF(OR(K45&gt;Cuts!$B$16, L45&gt;Cuts!B$16), 1,0)</f>
        <v>0</v>
      </c>
      <c r="Z45" s="246">
        <f>IF(OR(C45&gt;Cuts!$D$16, D45&gt;Cuts!$D$16),1,0)</f>
        <v>0</v>
      </c>
      <c r="AA45" s="306">
        <f t="shared" si="2"/>
        <v>0</v>
      </c>
      <c r="AB45" s="797"/>
      <c r="AC45" s="57"/>
      <c r="AD45" s="57"/>
      <c r="AE45" s="57"/>
    </row>
    <row r="46" spans="1:31">
      <c r="A46" s="66">
        <f t="shared" si="3"/>
        <v>188</v>
      </c>
      <c r="B46" s="84"/>
      <c r="C46" s="68">
        <v>102</v>
      </c>
      <c r="D46" s="69">
        <v>102</v>
      </c>
      <c r="E46" s="72">
        <v>0.51</v>
      </c>
      <c r="F46" s="102">
        <v>0.51</v>
      </c>
      <c r="G46" s="102">
        <v>0.51</v>
      </c>
      <c r="H46" s="102">
        <v>0.51</v>
      </c>
      <c r="I46" s="101">
        <v>0.51</v>
      </c>
      <c r="J46" s="234"/>
      <c r="K46" s="72">
        <v>26.18</v>
      </c>
      <c r="L46" s="73">
        <v>26.13</v>
      </c>
      <c r="M46" s="81" t="s">
        <v>89</v>
      </c>
      <c r="N46" s="82"/>
      <c r="O46" s="67"/>
      <c r="P46" s="75"/>
      <c r="Q46" s="84"/>
      <c r="R46" s="63">
        <v>18.3</v>
      </c>
      <c r="S46" s="64">
        <f t="shared" si="0"/>
        <v>13.450115615870871</v>
      </c>
      <c r="T46" s="143">
        <v>3</v>
      </c>
      <c r="V46" s="143">
        <f t="shared" si="4"/>
        <v>188</v>
      </c>
      <c r="W46" s="249">
        <f t="shared" si="1"/>
        <v>0</v>
      </c>
      <c r="X46" s="143">
        <f>IF(OR(ABS(E46-B!$C$6)&gt;(B!$C$6*0.1),ABS(F46-B!$C$6)&gt;(B!$C$6*0.1),ABS(G46-B!$C$6)&gt;(B!$C$6*0.1),ABS(H46-B!$C$6)&gt;(B!$C$6*0.1),ABS(I46-B!$C$6)&gt;(B!$C$6*0.1)),1,0)</f>
        <v>0</v>
      </c>
      <c r="Y46" s="143">
        <f>IF(OR(K46&gt;Cuts!$B$16, L46&gt;Cuts!B$16), 1,0)</f>
        <v>0</v>
      </c>
      <c r="Z46" s="246">
        <f>IF(OR(C46&gt;Cuts!$D$16, D46&gt;Cuts!$D$16),1,0)</f>
        <v>0</v>
      </c>
      <c r="AA46" s="306">
        <f t="shared" si="2"/>
        <v>0</v>
      </c>
      <c r="AB46" s="797"/>
      <c r="AC46" s="57"/>
      <c r="AD46" s="57"/>
      <c r="AE46" s="57"/>
    </row>
    <row r="47" spans="1:31">
      <c r="A47" s="66">
        <f t="shared" si="3"/>
        <v>189</v>
      </c>
      <c r="B47" s="84"/>
      <c r="C47" s="68">
        <v>102</v>
      </c>
      <c r="D47" s="69">
        <v>102</v>
      </c>
      <c r="E47" s="72">
        <v>0.52</v>
      </c>
      <c r="F47" s="102">
        <v>0.53</v>
      </c>
      <c r="G47" s="102">
        <v>0.52</v>
      </c>
      <c r="H47" s="102">
        <v>0.53</v>
      </c>
      <c r="I47" s="101">
        <v>0.52</v>
      </c>
      <c r="J47" s="234"/>
      <c r="K47" s="72">
        <v>26.13</v>
      </c>
      <c r="L47" s="73">
        <v>26.11</v>
      </c>
      <c r="M47" s="81" t="s">
        <v>89</v>
      </c>
      <c r="N47" s="82"/>
      <c r="O47" s="67"/>
      <c r="P47" s="75"/>
      <c r="Q47" s="84"/>
      <c r="R47" s="63">
        <v>18.600000000000001</v>
      </c>
      <c r="S47" s="64">
        <f t="shared" si="0"/>
        <v>13.323192807745126</v>
      </c>
      <c r="T47" s="143">
        <v>3</v>
      </c>
      <c r="V47" s="143">
        <f t="shared" si="4"/>
        <v>189</v>
      </c>
      <c r="W47" s="249">
        <f t="shared" si="1"/>
        <v>1.0000000000000009E-2</v>
      </c>
      <c r="X47" s="143">
        <f>IF(OR(ABS(E47-B!$C$6)&gt;(B!$C$6*0.1),ABS(F47-B!$C$6)&gt;(B!$C$6*0.1),ABS(G47-B!$C$6)&gt;(B!$C$6*0.1),ABS(H47-B!$C$6)&gt;(B!$C$6*0.1),ABS(I47-B!$C$6)&gt;(B!$C$6*0.1)),1,0)</f>
        <v>0</v>
      </c>
      <c r="Y47" s="143">
        <f>IF(OR(K47&gt;Cuts!$B$16, L47&gt;Cuts!B$16), 1,0)</f>
        <v>0</v>
      </c>
      <c r="Z47" s="246">
        <f>IF(OR(C47&gt;Cuts!$D$16, D47&gt;Cuts!$D$16),1,0)</f>
        <v>0</v>
      </c>
      <c r="AA47" s="306">
        <f t="shared" si="2"/>
        <v>0</v>
      </c>
      <c r="AB47" s="797"/>
      <c r="AC47" s="57"/>
      <c r="AD47" s="57"/>
      <c r="AE47" s="57"/>
    </row>
    <row r="48" spans="1:31" s="32" customFormat="1">
      <c r="A48" s="111">
        <f t="shared" si="3"/>
        <v>190</v>
      </c>
      <c r="B48" s="94"/>
      <c r="C48" s="86">
        <v>102</v>
      </c>
      <c r="D48" s="87">
        <v>102</v>
      </c>
      <c r="E48" s="88">
        <v>0.53</v>
      </c>
      <c r="F48" s="115">
        <v>0.53</v>
      </c>
      <c r="G48" s="115">
        <v>0.53</v>
      </c>
      <c r="H48" s="115">
        <v>0.53</v>
      </c>
      <c r="I48" s="168">
        <v>0.53</v>
      </c>
      <c r="J48" s="254"/>
      <c r="K48" s="88">
        <v>26.14</v>
      </c>
      <c r="L48" s="89">
        <v>26.22</v>
      </c>
      <c r="M48" s="90" t="s">
        <v>89</v>
      </c>
      <c r="N48" s="91"/>
      <c r="O48" s="92"/>
      <c r="P48" s="93"/>
      <c r="Q48" s="94"/>
      <c r="R48" s="95">
        <v>18.7</v>
      </c>
      <c r="S48" s="96">
        <f t="shared" si="0"/>
        <v>13.212832302732414</v>
      </c>
      <c r="T48" s="152">
        <v>3</v>
      </c>
      <c r="V48" s="152">
        <f t="shared" si="4"/>
        <v>190</v>
      </c>
      <c r="W48" s="251">
        <f t="shared" si="1"/>
        <v>0</v>
      </c>
      <c r="X48" s="152">
        <f>IF(OR(ABS(E48-B!$C$6)&gt;(B!$C$6*0.1),ABS(F48-B!$C$6)&gt;(B!$C$6*0.1),ABS(G48-B!$C$6)&gt;(B!$C$6*0.1),ABS(H48-B!$C$6)&gt;(B!$C$6*0.1),ABS(I48-B!$C$6)&gt;(B!$C$6*0.1)),1,0)</f>
        <v>0</v>
      </c>
      <c r="Y48" s="152">
        <f>IF(OR(K48&gt;Cuts!$B$16, L48&gt;Cuts!B$16), 1,0)</f>
        <v>0</v>
      </c>
      <c r="Z48" s="248">
        <f>IF(OR(C48&gt;Cuts!$D$16, D48&gt;Cuts!$D$16),1,0)</f>
        <v>0</v>
      </c>
      <c r="AA48" s="307">
        <f t="shared" si="2"/>
        <v>0</v>
      </c>
      <c r="AB48" s="798"/>
      <c r="AC48" s="111"/>
      <c r="AD48" s="111"/>
      <c r="AE48" s="111"/>
    </row>
    <row r="49" spans="1:31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V49" s="57"/>
      <c r="W49" s="57"/>
      <c r="X49" s="57"/>
      <c r="Y49" s="57">
        <f>IF(OR(K49&gt;Cuts!$B$16, L49&gt;Cuts!B$16), 1,0)</f>
        <v>0</v>
      </c>
      <c r="Z49" s="57">
        <f>IF(OR(L49&gt;Cuts!$B$16, M49&gt;Cuts!C$16), 1,0)</f>
        <v>0</v>
      </c>
      <c r="AA49" s="169">
        <f>SUM(AA12:AA48)</f>
        <v>9</v>
      </c>
      <c r="AB49" s="169"/>
      <c r="AC49" s="57"/>
      <c r="AD49" s="57"/>
      <c r="AE49" s="57"/>
    </row>
    <row r="50" spans="1:31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</row>
    <row r="51" spans="1:31">
      <c r="A51" s="66" t="s">
        <v>114</v>
      </c>
      <c r="B51" s="57"/>
      <c r="C51" s="57" t="s">
        <v>132</v>
      </c>
      <c r="D51" s="57"/>
      <c r="E51" s="57" t="s">
        <v>133</v>
      </c>
      <c r="F51" s="57"/>
      <c r="G51" s="57"/>
      <c r="H51" s="57"/>
      <c r="I51" s="57"/>
      <c r="J51" s="57"/>
      <c r="K51" s="57" t="s">
        <v>130</v>
      </c>
      <c r="L51" s="57"/>
      <c r="M51" s="57"/>
      <c r="N51" s="57"/>
      <c r="O51" s="57"/>
      <c r="P51" s="57"/>
      <c r="Q51" s="57"/>
      <c r="R51" s="57" t="s">
        <v>134</v>
      </c>
      <c r="S51" s="57" t="s">
        <v>135</v>
      </c>
      <c r="T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</row>
    <row r="52" spans="1:31">
      <c r="A52" s="66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</row>
    <row r="53" spans="1:31">
      <c r="A53" s="57" t="s">
        <v>116</v>
      </c>
      <c r="B53" s="57"/>
      <c r="C53" s="57">
        <f>4*25.4</f>
        <v>101.6</v>
      </c>
      <c r="D53" s="57"/>
      <c r="E53" s="57">
        <f>C6</f>
        <v>0.50800000000000001</v>
      </c>
      <c r="F53" s="57"/>
      <c r="G53" s="57"/>
      <c r="H53" s="57"/>
      <c r="I53" s="57"/>
      <c r="J53" s="57"/>
      <c r="K53" s="102">
        <v>25.4</v>
      </c>
      <c r="L53" s="57"/>
      <c r="M53" s="57"/>
      <c r="N53" s="57"/>
      <c r="O53" s="57"/>
      <c r="P53" s="57"/>
      <c r="Q53" s="57"/>
      <c r="R53" s="57"/>
      <c r="S53" s="57"/>
      <c r="T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</row>
    <row r="54" spans="1:31">
      <c r="A54" s="57" t="s">
        <v>111</v>
      </c>
      <c r="B54" s="57"/>
      <c r="C54" s="57">
        <f>MODE(C12:D48)</f>
        <v>102</v>
      </c>
      <c r="D54" s="57"/>
      <c r="E54" s="57">
        <f>MODE(E12:I48)</f>
        <v>0.51</v>
      </c>
      <c r="F54" s="57"/>
      <c r="G54" s="57"/>
      <c r="H54" s="57"/>
      <c r="I54" s="57"/>
      <c r="J54" s="57"/>
      <c r="K54" s="57">
        <f>MODE(K12:L48)</f>
        <v>26.13</v>
      </c>
      <c r="L54" s="57"/>
      <c r="M54" s="57"/>
      <c r="N54" s="57"/>
      <c r="O54" s="57"/>
      <c r="P54" s="57"/>
      <c r="Q54" s="57"/>
      <c r="R54" s="57">
        <f>MODE(R12:R48)</f>
        <v>18.7</v>
      </c>
      <c r="S54" s="65">
        <f>MODE(S12:S48)</f>
        <v>13.225461658785491</v>
      </c>
      <c r="T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</row>
    <row r="55" spans="1:31">
      <c r="A55" s="57" t="s">
        <v>110</v>
      </c>
      <c r="B55" s="57"/>
      <c r="C55" s="121">
        <f>AVERAGE(C12:D48)</f>
        <v>102.05405405405405</v>
      </c>
      <c r="D55" s="121"/>
      <c r="E55" s="65">
        <f>AVERAGE(E12:I48)</f>
        <v>0.51437837837837885</v>
      </c>
      <c r="F55" s="57"/>
      <c r="G55" s="57"/>
      <c r="H55" s="57"/>
      <c r="I55" s="57"/>
      <c r="J55" s="57"/>
      <c r="K55" s="153">
        <f>AVERAGE(K12:L48)</f>
        <v>26.161081081081104</v>
      </c>
      <c r="L55" s="57"/>
      <c r="M55" s="57"/>
      <c r="N55" s="57"/>
      <c r="O55" s="57"/>
      <c r="P55" s="57"/>
      <c r="Q55" s="57"/>
      <c r="R55" s="104">
        <f>AVERAGE(R12:R48)</f>
        <v>18.416216216216224</v>
      </c>
      <c r="S55" s="65">
        <f>AVERAGE(S12:S48)</f>
        <v>13.411439162573856</v>
      </c>
      <c r="T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</row>
    <row r="56" spans="1:31">
      <c r="A56" s="57" t="s">
        <v>117</v>
      </c>
      <c r="B56" s="57"/>
      <c r="C56" s="65">
        <f>STDEV(C12:D48)</f>
        <v>0.22766786020951793</v>
      </c>
      <c r="D56" s="57"/>
      <c r="E56" s="170">
        <f>STDEV(E12:I48)</f>
        <v>1.0923029499319703E-2</v>
      </c>
      <c r="F56" s="57"/>
      <c r="G56" s="57"/>
      <c r="H56" s="57"/>
      <c r="I56" s="57"/>
      <c r="J56" s="57"/>
      <c r="K56" s="65">
        <f>STDEV(K12:L48)</f>
        <v>4.5437525001559217E-2</v>
      </c>
      <c r="L56" s="57"/>
      <c r="M56" s="57"/>
      <c r="N56" s="57"/>
      <c r="O56" s="57"/>
      <c r="P56" s="57"/>
      <c r="Q56" s="57"/>
      <c r="R56" s="65">
        <f>STDEV(R12:R48)</f>
        <v>0.337896691570024</v>
      </c>
      <c r="S56" s="65">
        <f>STDEV(S12:S48)</f>
        <v>0.15071845489612068</v>
      </c>
      <c r="T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</row>
    <row r="57" spans="1:31">
      <c r="A57" s="154" t="s">
        <v>118</v>
      </c>
      <c r="B57" s="57"/>
      <c r="C57" s="65">
        <f>C55+C56</f>
        <v>102.28172191426357</v>
      </c>
      <c r="D57" s="57"/>
      <c r="E57" s="65">
        <f>E55+E56</f>
        <v>0.52530140787769852</v>
      </c>
      <c r="F57" s="57"/>
      <c r="G57" s="57"/>
      <c r="H57" s="57"/>
      <c r="I57" s="57"/>
      <c r="J57" s="57"/>
      <c r="K57" s="153">
        <f>K55+K56</f>
        <v>26.206518606082664</v>
      </c>
      <c r="L57" s="57"/>
      <c r="M57" s="57"/>
      <c r="N57" s="57"/>
      <c r="O57" s="57"/>
      <c r="P57" s="57"/>
      <c r="Q57" s="57"/>
      <c r="R57" s="65">
        <f>R55+R56</f>
        <v>18.754112907786247</v>
      </c>
      <c r="S57" s="104">
        <f>S55+S56</f>
        <v>13.562157617469977</v>
      </c>
      <c r="T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</row>
    <row r="58" spans="1:31">
      <c r="A58" s="154" t="s">
        <v>119</v>
      </c>
      <c r="B58" s="57"/>
      <c r="C58" s="65">
        <f>C55-C56</f>
        <v>101.82638619384453</v>
      </c>
      <c r="D58" s="57"/>
      <c r="E58" s="65">
        <f>E55-E56</f>
        <v>0.50345534887905918</v>
      </c>
      <c r="F58" s="57"/>
      <c r="G58" s="57"/>
      <c r="H58" s="57"/>
      <c r="I58" s="57"/>
      <c r="J58" s="57"/>
      <c r="K58" s="153">
        <f>K55-K56</f>
        <v>26.115643556079544</v>
      </c>
      <c r="L58" s="57"/>
      <c r="M58" s="57"/>
      <c r="N58" s="57"/>
      <c r="O58" s="57"/>
      <c r="P58" s="57"/>
      <c r="Q58" s="57"/>
      <c r="R58" s="65">
        <f>R55-R56</f>
        <v>18.078319524646201</v>
      </c>
      <c r="S58" s="104">
        <f>S55-S56</f>
        <v>13.260720707677736</v>
      </c>
      <c r="T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</row>
    <row r="59" spans="1:31">
      <c r="A59" s="154" t="s">
        <v>126</v>
      </c>
      <c r="B59" s="57"/>
      <c r="C59" s="153">
        <f>MAX(C12:D48)-C53</f>
        <v>1.4000000000000057</v>
      </c>
      <c r="D59" s="57"/>
      <c r="E59" s="65">
        <f>MAX($E$12:$I$48)-$E$53</f>
        <v>3.2000000000000028E-2</v>
      </c>
      <c r="F59" s="57"/>
      <c r="G59" s="57"/>
      <c r="H59" s="57"/>
      <c r="I59" s="57"/>
      <c r="J59" s="57"/>
      <c r="K59" s="65">
        <f>MAX(K12:L48)-K53</f>
        <v>0.86000000000000298</v>
      </c>
      <c r="L59" s="57"/>
      <c r="M59" s="57"/>
      <c r="N59" s="153"/>
      <c r="O59" s="57"/>
      <c r="P59" s="57"/>
      <c r="Q59" s="57"/>
      <c r="R59" s="57"/>
      <c r="S59" s="57"/>
      <c r="T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</row>
    <row r="60" spans="1:31">
      <c r="A60" s="154" t="s">
        <v>127</v>
      </c>
      <c r="B60" s="57"/>
      <c r="C60" s="153">
        <f>MIN(C12:D48)-C53</f>
        <v>0.40000000000000568</v>
      </c>
      <c r="D60" s="57"/>
      <c r="E60" s="65">
        <f>MIN($E$12:$I$48)-$E$53</f>
        <v>-1.8000000000000016E-2</v>
      </c>
      <c r="F60" s="57"/>
      <c r="G60" s="57"/>
      <c r="H60" s="57"/>
      <c r="I60" s="57"/>
      <c r="J60" s="57"/>
      <c r="K60" s="65">
        <f>MIN(K12:L48)-K53</f>
        <v>0.64000000000000057</v>
      </c>
      <c r="L60" s="57"/>
      <c r="M60" s="57"/>
      <c r="N60" s="57"/>
      <c r="O60" s="57"/>
      <c r="P60" s="57"/>
      <c r="Q60" s="57"/>
      <c r="R60" s="57"/>
      <c r="S60" s="57"/>
      <c r="T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</row>
    <row r="61" spans="1:31" ht="15.75" thickBo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</row>
    <row r="62" spans="1:31">
      <c r="A62" s="57" t="s">
        <v>146</v>
      </c>
      <c r="B62" s="57"/>
      <c r="C62" s="57"/>
      <c r="D62" s="40" t="s">
        <v>147</v>
      </c>
      <c r="E62" s="40" t="s">
        <v>149</v>
      </c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</row>
    <row r="63" spans="1:31">
      <c r="A63" s="57">
        <v>0.46</v>
      </c>
      <c r="B63" s="57"/>
      <c r="C63" s="57"/>
      <c r="D63" s="123">
        <v>0.46</v>
      </c>
      <c r="E63" s="124">
        <v>0</v>
      </c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</row>
    <row r="64" spans="1:31">
      <c r="A64" s="57">
        <f>A63+0.01</f>
        <v>0.47000000000000003</v>
      </c>
      <c r="B64" s="57"/>
      <c r="C64" s="57"/>
      <c r="D64" s="123">
        <v>0.47000000000000003</v>
      </c>
      <c r="E64" s="124">
        <v>0</v>
      </c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</row>
    <row r="65" spans="1:31">
      <c r="A65" s="57">
        <f t="shared" ref="A65:A69" si="5">A64+0.01</f>
        <v>0.48000000000000004</v>
      </c>
      <c r="B65" s="57"/>
      <c r="C65" s="57"/>
      <c r="D65" s="123">
        <v>0.48000000000000004</v>
      </c>
      <c r="E65" s="124">
        <v>0</v>
      </c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</row>
    <row r="66" spans="1:31">
      <c r="A66" s="57">
        <f t="shared" si="5"/>
        <v>0.49000000000000005</v>
      </c>
      <c r="B66" s="57"/>
      <c r="C66" s="57"/>
      <c r="D66" s="123">
        <v>0.49000000000000005</v>
      </c>
      <c r="E66" s="124">
        <v>8</v>
      </c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</row>
    <row r="67" spans="1:31">
      <c r="A67" s="57">
        <f t="shared" si="5"/>
        <v>0.5</v>
      </c>
      <c r="B67" s="57"/>
      <c r="C67" s="57"/>
      <c r="D67" s="123">
        <v>0.5</v>
      </c>
      <c r="E67" s="124">
        <v>26</v>
      </c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</row>
    <row r="68" spans="1:31">
      <c r="A68" s="57">
        <f t="shared" si="5"/>
        <v>0.51</v>
      </c>
      <c r="B68" s="57"/>
      <c r="C68" s="57"/>
      <c r="D68" s="123">
        <v>0.51</v>
      </c>
      <c r="E68" s="124">
        <v>64</v>
      </c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</row>
    <row r="69" spans="1:31">
      <c r="A69" s="57">
        <f t="shared" si="5"/>
        <v>0.52</v>
      </c>
      <c r="B69" s="57"/>
      <c r="C69" s="57"/>
      <c r="D69" s="123">
        <v>0.52</v>
      </c>
      <c r="E69" s="124">
        <v>52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</row>
    <row r="70" spans="1:31">
      <c r="A70" s="57">
        <f>A69+0.01</f>
        <v>0.53</v>
      </c>
      <c r="B70" s="57"/>
      <c r="C70" s="57"/>
      <c r="D70" s="123">
        <v>0.53</v>
      </c>
      <c r="E70" s="124">
        <v>34</v>
      </c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</row>
    <row r="71" spans="1:31">
      <c r="A71" s="57">
        <f t="shared" ref="A71:A72" si="6">A70+0.01</f>
        <v>0.54</v>
      </c>
      <c r="B71" s="57"/>
      <c r="C71" s="57"/>
      <c r="D71" s="123">
        <v>0.54</v>
      </c>
      <c r="E71" s="124">
        <v>1</v>
      </c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</row>
    <row r="72" spans="1:31">
      <c r="A72" s="57">
        <f t="shared" si="6"/>
        <v>0.55000000000000004</v>
      </c>
      <c r="B72" s="57"/>
      <c r="C72" s="57"/>
      <c r="D72" s="123">
        <v>0.55000000000000004</v>
      </c>
      <c r="E72" s="124">
        <v>0</v>
      </c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</row>
    <row r="73" spans="1:31" ht="15.75" thickBot="1">
      <c r="A73" s="57"/>
      <c r="B73" s="57"/>
      <c r="C73" s="57"/>
      <c r="D73" s="125" t="s">
        <v>148</v>
      </c>
      <c r="E73" s="125">
        <v>0</v>
      </c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</row>
    <row r="74" spans="1:31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</row>
    <row r="75" spans="1:31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</row>
  </sheetData>
  <sortState ref="D63:D72">
    <sortCondition ref="D63"/>
  </sortState>
  <mergeCells count="4">
    <mergeCell ref="C9:D9"/>
    <mergeCell ref="E9:I9"/>
    <mergeCell ref="K9:L9"/>
    <mergeCell ref="M9:P9"/>
  </mergeCells>
  <pageMargins left="0.25" right="0.25" top="0.25" bottom="0.25" header="0.3" footer="0.3"/>
  <pageSetup orientation="landscape" horizontalDpi="200" verticalDpi="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A66"/>
  <sheetViews>
    <sheetView topLeftCell="A4" zoomScale="80" zoomScaleNormal="80" workbookViewId="0">
      <selection activeCell="AB20" sqref="AB20"/>
    </sheetView>
  </sheetViews>
  <sheetFormatPr defaultRowHeight="15"/>
  <cols>
    <col min="1" max="1" width="6.28515625" style="57" customWidth="1"/>
    <col min="2" max="2" width="16.140625" style="57" customWidth="1"/>
    <col min="3" max="4" width="5.140625" style="57" customWidth="1"/>
    <col min="5" max="9" width="5.5703125" style="57" customWidth="1"/>
    <col min="10" max="10" width="5.5703125" style="57" bestFit="1" customWidth="1"/>
    <col min="11" max="12" width="6.85546875" style="57" customWidth="1"/>
    <col min="13" max="16" width="3.7109375" style="57" customWidth="1"/>
    <col min="17" max="17" width="10.28515625" style="57" customWidth="1"/>
    <col min="18" max="18" width="5.5703125" style="57" customWidth="1"/>
    <col min="19" max="19" width="5.140625" style="57" customWidth="1"/>
    <col min="20" max="20" width="9.85546875" style="57" customWidth="1"/>
    <col min="21" max="21" width="10.42578125" style="57" bestFit="1" customWidth="1"/>
    <col min="22" max="22" width="10.140625" style="57" bestFit="1" customWidth="1"/>
    <col min="23" max="23" width="9.28515625" style="57" customWidth="1"/>
    <col min="24" max="24" width="9.5703125" style="57" customWidth="1"/>
    <col min="25" max="25" width="8.85546875" style="57" customWidth="1"/>
    <col min="26" max="16384" width="9.140625" style="57"/>
  </cols>
  <sheetData>
    <row r="1" spans="1:27">
      <c r="A1" s="57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127"/>
      <c r="S1" s="127"/>
      <c r="T1" s="127"/>
    </row>
    <row r="2" spans="1:27">
      <c r="A2" s="57" t="s">
        <v>1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127"/>
      <c r="S2" s="127"/>
      <c r="T2" s="127"/>
    </row>
    <row r="3" spans="1:27">
      <c r="A3" s="57" t="s">
        <v>58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127"/>
      <c r="S3" s="127"/>
      <c r="T3" s="127"/>
    </row>
    <row r="4" spans="1:27"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127"/>
      <c r="S4" s="127"/>
      <c r="T4" s="127"/>
    </row>
    <row r="5" spans="1:27">
      <c r="B5" s="52" t="s">
        <v>112</v>
      </c>
      <c r="C5" s="52" t="s">
        <v>113</v>
      </c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127"/>
      <c r="S5" s="127"/>
      <c r="T5" s="127"/>
    </row>
    <row r="6" spans="1:27">
      <c r="A6" s="57" t="s">
        <v>68</v>
      </c>
      <c r="B6" s="52">
        <v>2.5000000000000001E-2</v>
      </c>
      <c r="C6" s="52">
        <f>B6*25.4</f>
        <v>0.63500000000000001</v>
      </c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127"/>
      <c r="S6" s="127"/>
      <c r="T6" s="127"/>
    </row>
    <row r="7" spans="1:27"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127"/>
      <c r="S7" s="127"/>
      <c r="T7" s="127"/>
    </row>
    <row r="8" spans="1:27">
      <c r="A8" s="3" t="s">
        <v>121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127"/>
      <c r="S8" s="127"/>
      <c r="T8" s="127"/>
      <c r="V8" s="100" t="s">
        <v>157</v>
      </c>
      <c r="W8" s="100"/>
    </row>
    <row r="9" spans="1:27" ht="45">
      <c r="A9" s="111" t="s">
        <v>216</v>
      </c>
      <c r="B9" s="128" t="s">
        <v>60</v>
      </c>
      <c r="C9" s="767" t="s">
        <v>61</v>
      </c>
      <c r="D9" s="768"/>
      <c r="E9" s="766" t="s">
        <v>62</v>
      </c>
      <c r="F9" s="766"/>
      <c r="G9" s="766"/>
      <c r="H9" s="766"/>
      <c r="I9" s="766"/>
      <c r="J9" s="129"/>
      <c r="K9" s="767" t="s">
        <v>63</v>
      </c>
      <c r="L9" s="768"/>
      <c r="M9" s="767" t="s">
        <v>64</v>
      </c>
      <c r="N9" s="765"/>
      <c r="O9" s="765"/>
      <c r="P9" s="765"/>
      <c r="Q9" s="130" t="s">
        <v>91</v>
      </c>
      <c r="R9" s="39" t="s">
        <v>220</v>
      </c>
      <c r="S9" s="228" t="s">
        <v>221</v>
      </c>
      <c r="T9" s="155" t="s">
        <v>101</v>
      </c>
      <c r="V9" s="152" t="s">
        <v>216</v>
      </c>
      <c r="W9" s="133" t="s">
        <v>123</v>
      </c>
      <c r="X9" s="134" t="s">
        <v>155</v>
      </c>
      <c r="Y9" s="152" t="s">
        <v>196</v>
      </c>
      <c r="Z9" s="252" t="s">
        <v>223</v>
      </c>
      <c r="AA9" s="225" t="s">
        <v>628</v>
      </c>
    </row>
    <row r="10" spans="1:27">
      <c r="A10" s="97"/>
      <c r="B10" s="255"/>
      <c r="C10" s="256">
        <v>1</v>
      </c>
      <c r="D10" s="255">
        <v>2</v>
      </c>
      <c r="E10" s="256">
        <v>1</v>
      </c>
      <c r="F10" s="199">
        <v>2</v>
      </c>
      <c r="G10" s="199">
        <v>3</v>
      </c>
      <c r="H10" s="199">
        <v>4</v>
      </c>
      <c r="I10" s="199">
        <v>5</v>
      </c>
      <c r="J10" s="255">
        <v>6</v>
      </c>
      <c r="K10" s="256">
        <v>1</v>
      </c>
      <c r="L10" s="255">
        <v>2</v>
      </c>
      <c r="M10" s="256">
        <v>1</v>
      </c>
      <c r="N10" s="199">
        <v>2</v>
      </c>
      <c r="O10" s="199">
        <v>3</v>
      </c>
      <c r="P10" s="199">
        <v>4</v>
      </c>
      <c r="Q10" s="255"/>
      <c r="R10" s="262"/>
      <c r="S10" s="263"/>
      <c r="T10" s="264"/>
      <c r="V10" s="143"/>
      <c r="W10" s="142"/>
      <c r="X10" s="138"/>
      <c r="Y10" s="138"/>
      <c r="Z10" s="264"/>
    </row>
    <row r="11" spans="1:27">
      <c r="A11" s="66"/>
      <c r="B11" s="159"/>
      <c r="C11" s="60"/>
      <c r="D11" s="159"/>
      <c r="E11" s="60"/>
      <c r="F11" s="61"/>
      <c r="G11" s="61"/>
      <c r="H11" s="61"/>
      <c r="I11" s="61"/>
      <c r="J11" s="159"/>
      <c r="K11" s="60"/>
      <c r="L11" s="159"/>
      <c r="M11" s="60"/>
      <c r="N11" s="61"/>
      <c r="O11" s="61"/>
      <c r="P11" s="61"/>
      <c r="Q11" s="159"/>
      <c r="R11" s="145"/>
      <c r="S11" s="141"/>
      <c r="T11" s="143"/>
      <c r="V11" s="143"/>
      <c r="W11" s="142"/>
      <c r="X11" s="143"/>
      <c r="Y11" s="143"/>
      <c r="Z11" s="143"/>
    </row>
    <row r="12" spans="1:27">
      <c r="A12" s="171">
        <v>0</v>
      </c>
      <c r="B12" s="159" t="s">
        <v>98</v>
      </c>
      <c r="C12" s="60">
        <v>204</v>
      </c>
      <c r="D12" s="159">
        <v>204</v>
      </c>
      <c r="E12" s="60">
        <v>0.64</v>
      </c>
      <c r="F12" s="61">
        <v>0.65</v>
      </c>
      <c r="G12" s="61">
        <v>0.64</v>
      </c>
      <c r="H12" s="61">
        <v>0.66</v>
      </c>
      <c r="I12" s="61">
        <v>0.64</v>
      </c>
      <c r="J12" s="159">
        <v>0.66</v>
      </c>
      <c r="K12" s="60">
        <v>27.66</v>
      </c>
      <c r="L12" s="159">
        <v>27.63</v>
      </c>
      <c r="M12" s="60"/>
      <c r="N12" s="61"/>
      <c r="O12" s="61"/>
      <c r="P12" s="61"/>
      <c r="Q12" s="76" t="s">
        <v>93</v>
      </c>
      <c r="R12" s="145">
        <v>51.6</v>
      </c>
      <c r="S12" s="64">
        <f t="shared" ref="S12:S41" si="0">R12/(AVERAGE(C12:D12)*AVERAGE(E12:J12)*AVERAGE(K12:L12)*0.001)</f>
        <v>14.112520603664709</v>
      </c>
      <c r="T12" s="143">
        <v>1</v>
      </c>
      <c r="V12" s="265">
        <v>0</v>
      </c>
      <c r="W12" s="143">
        <f t="shared" ref="W12:W41" si="1">IF(OR(ABS(E12-$C$6)&gt;($C$6*0.1),ABS(F12-$C$6)&gt;($C$6*0.1),ABS(G12-$C$6)&gt;($C$6*0.1),ABS(H12-$C$6)&gt;($C$6*0.1),ABS(I12-$C$6)&gt;($C$6*0.1),ABS(J12-$C$6)&gt;($C$6*0.1)),1,0)</f>
        <v>0</v>
      </c>
      <c r="X12" s="143">
        <f>IF(OR(K12&gt;Cuts!$B$16, L12&gt;Cuts!B$16), 1,0)</f>
        <v>1</v>
      </c>
      <c r="Y12" s="246">
        <f>IF(OR(C12&gt;Cuts!$C$16, D12&gt;Cuts!$C$16),1,0)</f>
        <v>0</v>
      </c>
      <c r="Z12" s="143">
        <f>IF(OR(M12="Y",N12="Y",O12="Y",P12="Y"),1,0)</f>
        <v>0</v>
      </c>
      <c r="AA12" t="s">
        <v>630</v>
      </c>
    </row>
    <row r="13" spans="1:27">
      <c r="A13" s="66">
        <v>1</v>
      </c>
      <c r="B13" s="159"/>
      <c r="C13" s="257">
        <v>204</v>
      </c>
      <c r="D13" s="54">
        <v>204</v>
      </c>
      <c r="E13" s="60">
        <v>0.62</v>
      </c>
      <c r="F13" s="61">
        <v>0.61</v>
      </c>
      <c r="G13" s="61">
        <v>0.62</v>
      </c>
      <c r="H13" s="61">
        <v>0.61</v>
      </c>
      <c r="I13" s="61">
        <v>0.62</v>
      </c>
      <c r="J13" s="159">
        <v>0.61</v>
      </c>
      <c r="K13" s="72">
        <v>26.38</v>
      </c>
      <c r="L13" s="73">
        <v>26.29</v>
      </c>
      <c r="M13" s="74"/>
      <c r="N13" s="67"/>
      <c r="O13" s="67"/>
      <c r="P13" s="75"/>
      <c r="Q13" s="76"/>
      <c r="R13" s="145">
        <v>45.2</v>
      </c>
      <c r="S13" s="64">
        <f t="shared" si="0"/>
        <v>13.680432541378543</v>
      </c>
      <c r="T13" s="143">
        <v>3</v>
      </c>
      <c r="V13" s="143">
        <v>1</v>
      </c>
      <c r="W13" s="143">
        <f t="shared" si="1"/>
        <v>0</v>
      </c>
      <c r="X13" s="143">
        <f>IF(OR(K13&gt;Cuts!$B$16, L13&gt;Cuts!B$16), 1,0)</f>
        <v>0</v>
      </c>
      <c r="Y13" s="246">
        <f>IF(OR(C13&gt;Cuts!$C$16, D13&gt;Cuts!$C$16),1,0)</f>
        <v>0</v>
      </c>
      <c r="Z13" s="143">
        <f t="shared" ref="Z13:Z41" si="2">IF(OR(M13="Y",N13="Y",O13="Y",P13="Y"),1,0)</f>
        <v>0</v>
      </c>
    </row>
    <row r="14" spans="1:27">
      <c r="A14" s="66">
        <v>2</v>
      </c>
      <c r="B14" s="159"/>
      <c r="C14" s="257">
        <v>204</v>
      </c>
      <c r="D14" s="54">
        <v>204</v>
      </c>
      <c r="E14" s="233">
        <v>0.63</v>
      </c>
      <c r="F14" s="71">
        <v>0.62</v>
      </c>
      <c r="G14" s="71">
        <v>0.63</v>
      </c>
      <c r="H14" s="71">
        <v>0.62</v>
      </c>
      <c r="I14" s="71">
        <v>0.63</v>
      </c>
      <c r="J14" s="234">
        <v>0.62</v>
      </c>
      <c r="K14" s="72">
        <v>26.29</v>
      </c>
      <c r="L14" s="73">
        <v>26.39</v>
      </c>
      <c r="M14" s="74"/>
      <c r="N14" s="67"/>
      <c r="O14" s="67"/>
      <c r="P14" s="75"/>
      <c r="Q14" s="76"/>
      <c r="R14" s="145">
        <v>46.1</v>
      </c>
      <c r="S14" s="64">
        <f t="shared" si="0"/>
        <v>13.726979022436613</v>
      </c>
      <c r="T14" s="143">
        <v>3</v>
      </c>
      <c r="V14" s="143">
        <v>2</v>
      </c>
      <c r="W14" s="143">
        <f t="shared" si="1"/>
        <v>0</v>
      </c>
      <c r="X14" s="143">
        <f>IF(OR(K14&gt;Cuts!$B$16, L14&gt;Cuts!B$16), 1,0)</f>
        <v>0</v>
      </c>
      <c r="Y14" s="246">
        <f>IF(OR(C14&gt;Cuts!$C$16, D14&gt;Cuts!$C$16),1,0)</f>
        <v>0</v>
      </c>
      <c r="Z14" s="143">
        <f t="shared" si="2"/>
        <v>0</v>
      </c>
    </row>
    <row r="15" spans="1:27">
      <c r="A15" s="66">
        <v>3</v>
      </c>
      <c r="B15" s="159"/>
      <c r="C15" s="257">
        <v>204</v>
      </c>
      <c r="D15" s="54">
        <v>204</v>
      </c>
      <c r="E15" s="233">
        <v>0.64</v>
      </c>
      <c r="F15" s="71">
        <v>0.64</v>
      </c>
      <c r="G15" s="71">
        <v>0.64</v>
      </c>
      <c r="H15" s="71">
        <v>0.63</v>
      </c>
      <c r="I15" s="71">
        <v>0.64</v>
      </c>
      <c r="J15" s="234">
        <v>0.63</v>
      </c>
      <c r="K15" s="72">
        <v>26.38</v>
      </c>
      <c r="L15" s="73">
        <v>26.42</v>
      </c>
      <c r="M15" s="74"/>
      <c r="N15" s="67"/>
      <c r="O15" s="67"/>
      <c r="P15" s="75"/>
      <c r="Q15" s="77"/>
      <c r="R15" s="145">
        <v>46.5</v>
      </c>
      <c r="S15" s="64">
        <f t="shared" si="0"/>
        <v>13.561469328331047</v>
      </c>
      <c r="T15" s="143">
        <v>3</v>
      </c>
      <c r="V15" s="143">
        <v>3</v>
      </c>
      <c r="W15" s="143">
        <f t="shared" si="1"/>
        <v>0</v>
      </c>
      <c r="X15" s="143">
        <f>IF(OR(K15&gt;Cuts!$B$16, L15&gt;Cuts!B$16), 1,0)</f>
        <v>0</v>
      </c>
      <c r="Y15" s="246">
        <f>IF(OR(C15&gt;Cuts!$C$16, D15&gt;Cuts!$C$16),1,0)</f>
        <v>0</v>
      </c>
      <c r="Z15" s="143">
        <f t="shared" si="2"/>
        <v>0</v>
      </c>
    </row>
    <row r="16" spans="1:27">
      <c r="A16" s="66">
        <v>4</v>
      </c>
      <c r="B16" s="159"/>
      <c r="C16" s="257">
        <v>204</v>
      </c>
      <c r="D16" s="54">
        <v>204</v>
      </c>
      <c r="E16" s="233">
        <v>0.64</v>
      </c>
      <c r="F16" s="71">
        <v>0.63</v>
      </c>
      <c r="G16" s="71">
        <v>0.64</v>
      </c>
      <c r="H16" s="71">
        <v>0.63</v>
      </c>
      <c r="I16" s="71">
        <v>0.63</v>
      </c>
      <c r="J16" s="234">
        <v>0.63</v>
      </c>
      <c r="K16" s="72">
        <v>26.38</v>
      </c>
      <c r="L16" s="73">
        <v>26.31</v>
      </c>
      <c r="M16" s="74"/>
      <c r="N16" s="67"/>
      <c r="O16" s="67" t="s">
        <v>89</v>
      </c>
      <c r="P16" s="75"/>
      <c r="Q16" s="76"/>
      <c r="R16" s="145">
        <v>45.4</v>
      </c>
      <c r="S16" s="64">
        <f t="shared" si="0"/>
        <v>13.338135845681883</v>
      </c>
      <c r="T16" s="143">
        <v>3</v>
      </c>
      <c r="V16" s="143">
        <v>4</v>
      </c>
      <c r="W16" s="143">
        <f t="shared" si="1"/>
        <v>0</v>
      </c>
      <c r="X16" s="143">
        <f>IF(OR(K16&gt;Cuts!$B$16, L16&gt;Cuts!B$16), 1,0)</f>
        <v>0</v>
      </c>
      <c r="Y16" s="246">
        <f>IF(OR(C16&gt;Cuts!$C$16, D16&gt;Cuts!$C$16),1,0)</f>
        <v>0</v>
      </c>
      <c r="Z16" s="143">
        <f t="shared" si="2"/>
        <v>0</v>
      </c>
    </row>
    <row r="17" spans="1:27">
      <c r="A17" s="66">
        <v>5</v>
      </c>
      <c r="B17" s="159"/>
      <c r="C17" s="257">
        <v>204</v>
      </c>
      <c r="D17" s="54">
        <v>204</v>
      </c>
      <c r="E17" s="233">
        <v>0.63</v>
      </c>
      <c r="F17" s="71">
        <v>0.64</v>
      </c>
      <c r="G17" s="71">
        <v>0.63</v>
      </c>
      <c r="H17" s="71">
        <v>0.64</v>
      </c>
      <c r="I17" s="71">
        <v>0.63</v>
      </c>
      <c r="J17" s="234">
        <v>0.63</v>
      </c>
      <c r="K17" s="72">
        <v>26.45</v>
      </c>
      <c r="L17" s="73">
        <v>26.28</v>
      </c>
      <c r="M17" s="74"/>
      <c r="N17" s="67"/>
      <c r="O17" s="67"/>
      <c r="P17" s="75"/>
      <c r="Q17" s="76"/>
      <c r="R17" s="145">
        <v>45.4</v>
      </c>
      <c r="S17" s="64">
        <f t="shared" si="0"/>
        <v>13.328017783215973</v>
      </c>
      <c r="T17" s="143">
        <v>3</v>
      </c>
      <c r="V17" s="143">
        <v>5</v>
      </c>
      <c r="W17" s="143">
        <f t="shared" si="1"/>
        <v>0</v>
      </c>
      <c r="X17" s="143">
        <f>IF(OR(K17&gt;Cuts!$B$16, L17&gt;Cuts!B$16), 1,0)</f>
        <v>0</v>
      </c>
      <c r="Y17" s="246">
        <f>IF(OR(C17&gt;Cuts!$C$16, D17&gt;Cuts!$C$16),1,0)</f>
        <v>0</v>
      </c>
      <c r="Z17" s="143">
        <f t="shared" si="2"/>
        <v>0</v>
      </c>
    </row>
    <row r="18" spans="1:27">
      <c r="A18" s="66">
        <v>6</v>
      </c>
      <c r="B18" s="159"/>
      <c r="C18" s="257">
        <v>204</v>
      </c>
      <c r="D18" s="54">
        <v>204</v>
      </c>
      <c r="E18" s="233">
        <v>0.62</v>
      </c>
      <c r="F18" s="71">
        <v>0.63</v>
      </c>
      <c r="G18" s="71">
        <v>0.62</v>
      </c>
      <c r="H18" s="71">
        <v>0.63</v>
      </c>
      <c r="I18" s="71">
        <v>0.62</v>
      </c>
      <c r="J18" s="234">
        <v>0.63</v>
      </c>
      <c r="K18" s="72">
        <v>26.47</v>
      </c>
      <c r="L18" s="73">
        <v>26.29</v>
      </c>
      <c r="M18" s="74"/>
      <c r="N18" s="67"/>
      <c r="O18" s="67"/>
      <c r="P18" s="75"/>
      <c r="Q18" s="76"/>
      <c r="R18" s="145">
        <v>45.6</v>
      </c>
      <c r="S18" s="64">
        <f t="shared" si="0"/>
        <v>13.55750791597913</v>
      </c>
      <c r="T18" s="143">
        <v>3</v>
      </c>
      <c r="V18" s="143">
        <v>6</v>
      </c>
      <c r="W18" s="143">
        <f t="shared" si="1"/>
        <v>0</v>
      </c>
      <c r="X18" s="143">
        <f>IF(OR(K18&gt;Cuts!$B$16, L18&gt;Cuts!B$16), 1,0)</f>
        <v>0</v>
      </c>
      <c r="Y18" s="246">
        <f>IF(OR(C18&gt;Cuts!$C$16, D18&gt;Cuts!$C$16),1,0)</f>
        <v>0</v>
      </c>
      <c r="Z18" s="143">
        <f t="shared" si="2"/>
        <v>0</v>
      </c>
    </row>
    <row r="19" spans="1:27">
      <c r="A19" s="66">
        <v>7</v>
      </c>
      <c r="B19" s="159"/>
      <c r="C19" s="257">
        <v>204</v>
      </c>
      <c r="D19" s="54">
        <v>204</v>
      </c>
      <c r="E19" s="233">
        <v>0.63</v>
      </c>
      <c r="F19" s="71">
        <v>0.63</v>
      </c>
      <c r="G19" s="71">
        <v>0.63</v>
      </c>
      <c r="H19" s="71">
        <v>0.63</v>
      </c>
      <c r="I19" s="71">
        <v>0.63</v>
      </c>
      <c r="J19" s="234">
        <v>0.63</v>
      </c>
      <c r="K19" s="72">
        <v>26.26</v>
      </c>
      <c r="L19" s="73">
        <v>26.47</v>
      </c>
      <c r="M19" s="74"/>
      <c r="N19" s="67"/>
      <c r="O19" s="67"/>
      <c r="P19" s="75"/>
      <c r="Q19" s="76"/>
      <c r="R19" s="145">
        <v>45.7</v>
      </c>
      <c r="S19" s="64">
        <f t="shared" si="0"/>
        <v>13.487072979938967</v>
      </c>
      <c r="T19" s="143">
        <v>3</v>
      </c>
      <c r="V19" s="143">
        <v>7</v>
      </c>
      <c r="W19" s="143">
        <f t="shared" si="1"/>
        <v>0</v>
      </c>
      <c r="X19" s="143">
        <f>IF(OR(K19&gt;Cuts!$B$16, L19&gt;Cuts!B$16), 1,0)</f>
        <v>0</v>
      </c>
      <c r="Y19" s="246">
        <f>IF(OR(C19&gt;Cuts!$C$16, D19&gt;Cuts!$C$16),1,0)</f>
        <v>0</v>
      </c>
      <c r="Z19" s="143">
        <f t="shared" si="2"/>
        <v>0</v>
      </c>
    </row>
    <row r="20" spans="1:27" ht="45">
      <c r="A20" s="66">
        <v>8</v>
      </c>
      <c r="B20" s="159" t="s">
        <v>70</v>
      </c>
      <c r="C20" s="257">
        <v>204</v>
      </c>
      <c r="D20" s="54">
        <v>204</v>
      </c>
      <c r="E20" s="233">
        <v>0.62</v>
      </c>
      <c r="F20" s="71">
        <v>0.63</v>
      </c>
      <c r="G20" s="71">
        <v>0.62</v>
      </c>
      <c r="H20" s="71">
        <v>0.63</v>
      </c>
      <c r="I20" s="71">
        <v>0.62</v>
      </c>
      <c r="J20" s="234">
        <v>0.63</v>
      </c>
      <c r="K20" s="72">
        <v>26.18</v>
      </c>
      <c r="L20" s="73">
        <v>26.49</v>
      </c>
      <c r="M20" s="74"/>
      <c r="N20" s="67"/>
      <c r="O20" s="67"/>
      <c r="P20" s="75"/>
      <c r="Q20" s="77"/>
      <c r="R20" s="145">
        <v>45.5</v>
      </c>
      <c r="S20" s="64">
        <f t="shared" si="0"/>
        <v>13.550892162446903</v>
      </c>
      <c r="T20" s="143">
        <v>3</v>
      </c>
      <c r="V20" s="143">
        <v>8</v>
      </c>
      <c r="W20" s="143">
        <f t="shared" si="1"/>
        <v>0</v>
      </c>
      <c r="X20" s="143">
        <f>IF(OR(K20&gt;Cuts!$B$16, L20&gt;Cuts!B$16), 1,0)</f>
        <v>0</v>
      </c>
      <c r="Y20" s="246">
        <f>IF(OR(C20&gt;Cuts!$C$16, D20&gt;Cuts!$C$16),1,0)</f>
        <v>0</v>
      </c>
      <c r="Z20" s="143">
        <f t="shared" si="2"/>
        <v>0</v>
      </c>
    </row>
    <row r="21" spans="1:27">
      <c r="A21" s="66">
        <v>9</v>
      </c>
      <c r="B21" s="159"/>
      <c r="C21" s="257">
        <v>204</v>
      </c>
      <c r="D21" s="54">
        <v>204</v>
      </c>
      <c r="E21" s="233">
        <v>0.63</v>
      </c>
      <c r="F21" s="71">
        <v>0.62</v>
      </c>
      <c r="G21" s="71">
        <v>0.63</v>
      </c>
      <c r="H21" s="71">
        <v>0.63</v>
      </c>
      <c r="I21" s="71">
        <v>0.63</v>
      </c>
      <c r="J21" s="234">
        <v>0.63</v>
      </c>
      <c r="K21" s="72">
        <v>26.32</v>
      </c>
      <c r="L21" s="73">
        <v>26.4</v>
      </c>
      <c r="M21" s="74"/>
      <c r="N21" s="67"/>
      <c r="O21" s="67"/>
      <c r="P21" s="75"/>
      <c r="Q21" s="76"/>
      <c r="R21" s="145">
        <v>45.7</v>
      </c>
      <c r="S21" s="64">
        <f t="shared" si="0"/>
        <v>13.525412741140055</v>
      </c>
      <c r="T21" s="143">
        <v>3</v>
      </c>
      <c r="V21" s="143">
        <v>9</v>
      </c>
      <c r="W21" s="143">
        <f t="shared" si="1"/>
        <v>0</v>
      </c>
      <c r="X21" s="143">
        <f>IF(OR(K21&gt;Cuts!$B$16, L21&gt;Cuts!B$16), 1,0)</f>
        <v>0</v>
      </c>
      <c r="Y21" s="246">
        <f>IF(OR(C21&gt;Cuts!$C$16, D21&gt;Cuts!$C$16),1,0)</f>
        <v>0</v>
      </c>
      <c r="Z21" s="143">
        <f t="shared" si="2"/>
        <v>0</v>
      </c>
    </row>
    <row r="22" spans="1:27">
      <c r="A22" s="66">
        <v>10</v>
      </c>
      <c r="B22" s="159"/>
      <c r="C22" s="257">
        <v>204</v>
      </c>
      <c r="D22" s="54">
        <v>204</v>
      </c>
      <c r="E22" s="233">
        <v>0.6</v>
      </c>
      <c r="F22" s="71">
        <v>0.62</v>
      </c>
      <c r="G22" s="71">
        <v>0.61</v>
      </c>
      <c r="H22" s="71">
        <v>0.62</v>
      </c>
      <c r="I22" s="71">
        <v>0.61</v>
      </c>
      <c r="J22" s="234">
        <v>0.62</v>
      </c>
      <c r="K22" s="72">
        <v>26.36</v>
      </c>
      <c r="L22" s="73">
        <v>26.34</v>
      </c>
      <c r="M22" s="74"/>
      <c r="N22" s="67"/>
      <c r="O22" s="67"/>
      <c r="P22" s="75"/>
      <c r="Q22" s="77"/>
      <c r="R22" s="145">
        <v>44.8</v>
      </c>
      <c r="S22" s="64">
        <f t="shared" si="0"/>
        <v>13.588473092396761</v>
      </c>
      <c r="T22" s="143">
        <v>3</v>
      </c>
      <c r="V22" s="143">
        <v>10</v>
      </c>
      <c r="W22" s="143">
        <f t="shared" si="1"/>
        <v>0</v>
      </c>
      <c r="X22" s="143">
        <f>IF(OR(K22&gt;Cuts!$B$16, L22&gt;Cuts!B$16), 1,0)</f>
        <v>0</v>
      </c>
      <c r="Y22" s="246">
        <f>IF(OR(C22&gt;Cuts!$C$16, D22&gt;Cuts!$C$16),1,0)</f>
        <v>0</v>
      </c>
      <c r="Z22" s="143">
        <f t="shared" si="2"/>
        <v>0</v>
      </c>
    </row>
    <row r="23" spans="1:27">
      <c r="A23" s="171">
        <v>11</v>
      </c>
      <c r="B23" s="159" t="s">
        <v>71</v>
      </c>
      <c r="C23" s="257">
        <v>204</v>
      </c>
      <c r="D23" s="54">
        <v>204</v>
      </c>
      <c r="E23" s="233">
        <v>0.63</v>
      </c>
      <c r="F23" s="71">
        <v>0.63</v>
      </c>
      <c r="G23" s="71">
        <v>0.63</v>
      </c>
      <c r="H23" s="71">
        <v>0.63</v>
      </c>
      <c r="I23" s="71">
        <v>0.66</v>
      </c>
      <c r="J23" s="234">
        <v>0.63</v>
      </c>
      <c r="K23" s="72">
        <v>26.3</v>
      </c>
      <c r="L23" s="73">
        <v>26.38</v>
      </c>
      <c r="M23" s="74"/>
      <c r="N23" s="67"/>
      <c r="O23" s="67" t="s">
        <v>89</v>
      </c>
      <c r="P23" s="75"/>
      <c r="Q23" s="76"/>
      <c r="R23" s="145">
        <v>46.5</v>
      </c>
      <c r="S23" s="64">
        <f t="shared" si="0"/>
        <v>13.628036546349568</v>
      </c>
      <c r="T23" s="143">
        <v>3</v>
      </c>
      <c r="V23" s="265">
        <v>11</v>
      </c>
      <c r="W23" s="143">
        <f t="shared" si="1"/>
        <v>0</v>
      </c>
      <c r="X23" s="143">
        <f>IF(OR(K23&gt;Cuts!$B$16, L23&gt;Cuts!B$16), 1,0)</f>
        <v>0</v>
      </c>
      <c r="Y23" s="246">
        <f>IF(OR(C23&gt;Cuts!$C$16, D23&gt;Cuts!$C$16),1,0)</f>
        <v>0</v>
      </c>
      <c r="Z23" s="143">
        <f t="shared" si="2"/>
        <v>0</v>
      </c>
      <c r="AA23" t="s">
        <v>416</v>
      </c>
    </row>
    <row r="24" spans="1:27">
      <c r="A24" s="66">
        <v>12</v>
      </c>
      <c r="B24" s="159"/>
      <c r="C24" s="257">
        <v>204</v>
      </c>
      <c r="D24" s="54">
        <v>204</v>
      </c>
      <c r="E24" s="233">
        <v>0.64</v>
      </c>
      <c r="F24" s="71">
        <v>0.63</v>
      </c>
      <c r="G24" s="71">
        <v>0.63</v>
      </c>
      <c r="H24" s="71">
        <v>0.63</v>
      </c>
      <c r="I24" s="71">
        <v>0.63</v>
      </c>
      <c r="J24" s="234">
        <v>0.63</v>
      </c>
      <c r="K24" s="72">
        <v>26.27</v>
      </c>
      <c r="L24" s="73">
        <v>26.21</v>
      </c>
      <c r="M24" s="74"/>
      <c r="N24" s="67"/>
      <c r="O24" s="67"/>
      <c r="P24" s="75"/>
      <c r="Q24" s="76"/>
      <c r="R24" s="145">
        <v>46.7</v>
      </c>
      <c r="S24" s="64">
        <f t="shared" si="0"/>
        <v>13.811311576564471</v>
      </c>
      <c r="T24" s="143">
        <v>3</v>
      </c>
      <c r="V24" s="143">
        <v>12</v>
      </c>
      <c r="W24" s="143">
        <f t="shared" si="1"/>
        <v>0</v>
      </c>
      <c r="X24" s="143">
        <f>IF(OR(K24&gt;Cuts!$B$16, L24&gt;Cuts!B$16), 1,0)</f>
        <v>0</v>
      </c>
      <c r="Y24" s="246">
        <f>IF(OR(C24&gt;Cuts!$C$16, D24&gt;Cuts!$C$16),1,0)</f>
        <v>0</v>
      </c>
      <c r="Z24" s="143">
        <f t="shared" si="2"/>
        <v>0</v>
      </c>
    </row>
    <row r="25" spans="1:27">
      <c r="A25" s="66">
        <v>13</v>
      </c>
      <c r="B25" s="159"/>
      <c r="C25" s="257">
        <v>204</v>
      </c>
      <c r="D25" s="54">
        <v>204</v>
      </c>
      <c r="E25" s="233">
        <v>0.63</v>
      </c>
      <c r="F25" s="71">
        <v>0.63</v>
      </c>
      <c r="G25" s="71">
        <v>0.63</v>
      </c>
      <c r="H25" s="71">
        <v>0.64</v>
      </c>
      <c r="I25" s="71">
        <v>0.64</v>
      </c>
      <c r="J25" s="234">
        <v>0.63</v>
      </c>
      <c r="K25" s="72">
        <v>26.17</v>
      </c>
      <c r="L25" s="73">
        <v>26.14</v>
      </c>
      <c r="M25" s="74"/>
      <c r="N25" s="67"/>
      <c r="O25" s="67"/>
      <c r="P25" s="75"/>
      <c r="Q25" s="76"/>
      <c r="R25" s="145">
        <v>46.3</v>
      </c>
      <c r="S25" s="64">
        <f t="shared" si="0"/>
        <v>13.701362382983556</v>
      </c>
      <c r="T25" s="143">
        <v>3</v>
      </c>
      <c r="V25" s="143">
        <v>13</v>
      </c>
      <c r="W25" s="143">
        <f t="shared" si="1"/>
        <v>0</v>
      </c>
      <c r="X25" s="143">
        <f>IF(OR(K25&gt;Cuts!$B$16, L25&gt;Cuts!B$16), 1,0)</f>
        <v>0</v>
      </c>
      <c r="Y25" s="246">
        <f>IF(OR(C25&gt;Cuts!$C$16, D25&gt;Cuts!$C$16),1,0)</f>
        <v>0</v>
      </c>
      <c r="Z25" s="143">
        <f t="shared" si="2"/>
        <v>0</v>
      </c>
    </row>
    <row r="26" spans="1:27">
      <c r="A26" s="66">
        <v>14</v>
      </c>
      <c r="B26" s="159"/>
      <c r="C26" s="257">
        <v>204</v>
      </c>
      <c r="D26" s="54">
        <v>204</v>
      </c>
      <c r="E26" s="233">
        <v>0.64</v>
      </c>
      <c r="F26" s="71">
        <v>0.64</v>
      </c>
      <c r="G26" s="71">
        <v>0.64</v>
      </c>
      <c r="H26" s="71">
        <v>0.65</v>
      </c>
      <c r="I26" s="71">
        <v>0.65</v>
      </c>
      <c r="J26" s="234">
        <v>0.65</v>
      </c>
      <c r="K26" s="72">
        <v>26.28</v>
      </c>
      <c r="L26" s="73">
        <v>26.3</v>
      </c>
      <c r="M26" s="74"/>
      <c r="N26" s="67"/>
      <c r="O26" s="67" t="s">
        <v>89</v>
      </c>
      <c r="P26" s="75" t="s">
        <v>89</v>
      </c>
      <c r="Q26" s="77"/>
      <c r="R26" s="145">
        <v>47.1</v>
      </c>
      <c r="S26" s="64">
        <f t="shared" si="0"/>
        <v>13.615714581320249</v>
      </c>
      <c r="T26" s="143">
        <v>3</v>
      </c>
      <c r="V26" s="143">
        <v>14</v>
      </c>
      <c r="W26" s="143">
        <f t="shared" si="1"/>
        <v>0</v>
      </c>
      <c r="X26" s="143">
        <f>IF(OR(K26&gt;Cuts!$B$16, L26&gt;Cuts!B$16), 1,0)</f>
        <v>0</v>
      </c>
      <c r="Y26" s="246">
        <f>IF(OR(C26&gt;Cuts!$C$16, D26&gt;Cuts!$C$16),1,0)</f>
        <v>0</v>
      </c>
      <c r="Z26" s="143">
        <f t="shared" si="2"/>
        <v>0</v>
      </c>
    </row>
    <row r="27" spans="1:27">
      <c r="A27" s="66">
        <v>15</v>
      </c>
      <c r="B27" s="159"/>
      <c r="C27" s="257">
        <v>204</v>
      </c>
      <c r="D27" s="54">
        <v>204</v>
      </c>
      <c r="E27" s="233">
        <v>0.63</v>
      </c>
      <c r="F27" s="71">
        <v>0.63</v>
      </c>
      <c r="G27" s="71">
        <v>0.63</v>
      </c>
      <c r="H27" s="71">
        <v>0.63</v>
      </c>
      <c r="I27" s="71">
        <v>0.63</v>
      </c>
      <c r="J27" s="234">
        <v>0.63</v>
      </c>
      <c r="K27" s="72">
        <v>26.46</v>
      </c>
      <c r="L27" s="73">
        <v>26.25</v>
      </c>
      <c r="M27" s="74"/>
      <c r="N27" s="67"/>
      <c r="O27" s="67" t="s">
        <v>89</v>
      </c>
      <c r="P27" s="75"/>
      <c r="Q27" s="77"/>
      <c r="R27" s="145">
        <v>46.1</v>
      </c>
      <c r="S27" s="64">
        <f t="shared" si="0"/>
        <v>13.610284013265922</v>
      </c>
      <c r="T27" s="143">
        <v>3</v>
      </c>
      <c r="V27" s="143">
        <v>15</v>
      </c>
      <c r="W27" s="143">
        <f t="shared" si="1"/>
        <v>0</v>
      </c>
      <c r="X27" s="143">
        <f>IF(OR(K27&gt;Cuts!$B$16, L27&gt;Cuts!B$16), 1,0)</f>
        <v>0</v>
      </c>
      <c r="Y27" s="246">
        <f>IF(OR(C27&gt;Cuts!$C$16, D27&gt;Cuts!$C$16),1,0)</f>
        <v>0</v>
      </c>
      <c r="Z27" s="143">
        <f t="shared" si="2"/>
        <v>0</v>
      </c>
    </row>
    <row r="28" spans="1:27" ht="30">
      <c r="A28" s="66">
        <v>16</v>
      </c>
      <c r="B28" s="159" t="s">
        <v>72</v>
      </c>
      <c r="C28" s="257">
        <v>204</v>
      </c>
      <c r="D28" s="54">
        <v>204</v>
      </c>
      <c r="E28" s="233">
        <v>0.64</v>
      </c>
      <c r="F28" s="71">
        <v>0.63</v>
      </c>
      <c r="G28" s="71">
        <v>0.63</v>
      </c>
      <c r="H28" s="71">
        <v>0.63</v>
      </c>
      <c r="I28" s="71">
        <v>0.64</v>
      </c>
      <c r="J28" s="234">
        <v>0.63</v>
      </c>
      <c r="K28" s="72">
        <v>26.34</v>
      </c>
      <c r="L28" s="73">
        <v>26.29</v>
      </c>
      <c r="M28" s="74"/>
      <c r="N28" s="67"/>
      <c r="O28" s="67"/>
      <c r="P28" s="75"/>
      <c r="Q28" s="77"/>
      <c r="R28" s="145">
        <v>46.6</v>
      </c>
      <c r="S28" s="64">
        <f t="shared" si="0"/>
        <v>13.706293541747431</v>
      </c>
      <c r="T28" s="143">
        <v>3</v>
      </c>
      <c r="V28" s="143">
        <v>16</v>
      </c>
      <c r="W28" s="143">
        <f t="shared" si="1"/>
        <v>0</v>
      </c>
      <c r="X28" s="143">
        <f>IF(OR(K28&gt;Cuts!$B$16, L28&gt;Cuts!B$16), 1,0)</f>
        <v>0</v>
      </c>
      <c r="Y28" s="246">
        <f>IF(OR(C28&gt;Cuts!$C$16, D28&gt;Cuts!$C$16),1,0)</f>
        <v>0</v>
      </c>
      <c r="Z28" s="143">
        <f t="shared" si="2"/>
        <v>0</v>
      </c>
    </row>
    <row r="29" spans="1:27">
      <c r="A29" s="66">
        <v>17</v>
      </c>
      <c r="B29" s="159"/>
      <c r="C29" s="257">
        <v>204</v>
      </c>
      <c r="D29" s="54">
        <v>204</v>
      </c>
      <c r="E29" s="233">
        <v>0.63</v>
      </c>
      <c r="F29" s="71">
        <v>0.61</v>
      </c>
      <c r="G29" s="71">
        <v>0.63</v>
      </c>
      <c r="H29" s="71">
        <v>0.61</v>
      </c>
      <c r="I29" s="71">
        <v>0.62</v>
      </c>
      <c r="J29" s="234">
        <v>0.62</v>
      </c>
      <c r="K29" s="72">
        <v>26</v>
      </c>
      <c r="L29" s="73">
        <v>26.19</v>
      </c>
      <c r="M29" s="74" t="s">
        <v>89</v>
      </c>
      <c r="N29" s="67"/>
      <c r="O29" s="67"/>
      <c r="P29" s="75"/>
      <c r="Q29" s="77"/>
      <c r="R29" s="145">
        <v>45.1</v>
      </c>
      <c r="S29" s="64">
        <f t="shared" si="0"/>
        <v>13.664614490017804</v>
      </c>
      <c r="T29" s="143">
        <v>3</v>
      </c>
      <c r="V29" s="143">
        <v>17</v>
      </c>
      <c r="W29" s="143">
        <f t="shared" si="1"/>
        <v>0</v>
      </c>
      <c r="X29" s="143">
        <f>IF(OR(K29&gt;Cuts!$B$16, L29&gt;Cuts!B$16), 1,0)</f>
        <v>0</v>
      </c>
      <c r="Y29" s="246">
        <f>IF(OR(C29&gt;Cuts!$C$16, D29&gt;Cuts!$C$16),1,0)</f>
        <v>0</v>
      </c>
      <c r="Z29" s="143">
        <f t="shared" si="2"/>
        <v>0</v>
      </c>
    </row>
    <row r="30" spans="1:27">
      <c r="A30" s="66">
        <v>18</v>
      </c>
      <c r="B30" s="159"/>
      <c r="C30" s="257">
        <v>204</v>
      </c>
      <c r="D30" s="54">
        <v>204</v>
      </c>
      <c r="E30" s="233">
        <v>0.63</v>
      </c>
      <c r="F30" s="71">
        <v>0.63</v>
      </c>
      <c r="G30" s="71">
        <v>0.63</v>
      </c>
      <c r="H30" s="71">
        <v>0.63</v>
      </c>
      <c r="I30" s="71">
        <v>0.63</v>
      </c>
      <c r="J30" s="234">
        <v>0.63</v>
      </c>
      <c r="K30" s="72">
        <v>26.36</v>
      </c>
      <c r="L30" s="73">
        <v>26.29</v>
      </c>
      <c r="M30" s="74"/>
      <c r="N30" s="67"/>
      <c r="O30" s="67"/>
      <c r="P30" s="75"/>
      <c r="Q30" s="77"/>
      <c r="R30" s="145">
        <v>45.9</v>
      </c>
      <c r="S30" s="64">
        <f t="shared" si="0"/>
        <v>13.566680233346897</v>
      </c>
      <c r="T30" s="143">
        <v>3</v>
      </c>
      <c r="V30" s="143">
        <v>18</v>
      </c>
      <c r="W30" s="143">
        <f t="shared" si="1"/>
        <v>0</v>
      </c>
      <c r="X30" s="143">
        <f>IF(OR(K30&gt;Cuts!$B$16, L30&gt;Cuts!B$16), 1,0)</f>
        <v>0</v>
      </c>
      <c r="Y30" s="246">
        <f>IF(OR(C30&gt;Cuts!$C$16, D30&gt;Cuts!$C$16),1,0)</f>
        <v>0</v>
      </c>
      <c r="Z30" s="143">
        <f t="shared" si="2"/>
        <v>0</v>
      </c>
    </row>
    <row r="31" spans="1:27">
      <c r="A31" s="66">
        <v>19</v>
      </c>
      <c r="B31" s="159"/>
      <c r="C31" s="257">
        <v>204</v>
      </c>
      <c r="D31" s="54">
        <v>204</v>
      </c>
      <c r="E31" s="233">
        <v>0.64</v>
      </c>
      <c r="F31" s="71">
        <v>0.64</v>
      </c>
      <c r="G31" s="71">
        <v>0.64</v>
      </c>
      <c r="H31" s="71">
        <v>0.64</v>
      </c>
      <c r="I31" s="71">
        <v>0.64</v>
      </c>
      <c r="J31" s="234">
        <v>0.64</v>
      </c>
      <c r="K31" s="72">
        <v>26.38</v>
      </c>
      <c r="L31" s="73">
        <v>26.31</v>
      </c>
      <c r="M31" s="74"/>
      <c r="N31" s="67"/>
      <c r="O31" s="67" t="s">
        <v>89</v>
      </c>
      <c r="P31" s="75"/>
      <c r="Q31" s="76" t="s">
        <v>93</v>
      </c>
      <c r="R31" s="145">
        <v>46.9</v>
      </c>
      <c r="S31" s="64">
        <f t="shared" si="0"/>
        <v>13.63529374551111</v>
      </c>
      <c r="T31" s="143">
        <v>3</v>
      </c>
      <c r="V31" s="143">
        <v>19</v>
      </c>
      <c r="W31" s="143">
        <f t="shared" si="1"/>
        <v>0</v>
      </c>
      <c r="X31" s="143">
        <f>IF(OR(K31&gt;Cuts!$B$16, L31&gt;Cuts!B$16), 1,0)</f>
        <v>0</v>
      </c>
      <c r="Y31" s="246">
        <f>IF(OR(C31&gt;Cuts!$C$16, D31&gt;Cuts!$C$16),1,0)</f>
        <v>0</v>
      </c>
      <c r="Z31" s="143">
        <f t="shared" si="2"/>
        <v>0</v>
      </c>
    </row>
    <row r="32" spans="1:27">
      <c r="A32" s="78">
        <v>20</v>
      </c>
      <c r="B32" s="140"/>
      <c r="C32" s="257">
        <v>204</v>
      </c>
      <c r="D32" s="54">
        <v>204</v>
      </c>
      <c r="E32" s="235">
        <v>0.62</v>
      </c>
      <c r="F32" s="107">
        <v>0.63</v>
      </c>
      <c r="G32" s="107">
        <v>0.62</v>
      </c>
      <c r="H32" s="107">
        <v>0.63</v>
      </c>
      <c r="I32" s="107">
        <v>0.63</v>
      </c>
      <c r="J32" s="260">
        <v>0.64</v>
      </c>
      <c r="K32" s="72">
        <v>26.28</v>
      </c>
      <c r="L32" s="73">
        <v>25.98</v>
      </c>
      <c r="M32" s="79"/>
      <c r="N32" s="80"/>
      <c r="O32" s="80"/>
      <c r="P32" s="75"/>
      <c r="Q32" s="77"/>
      <c r="R32" s="145">
        <v>45.9</v>
      </c>
      <c r="S32" s="64">
        <f t="shared" si="0"/>
        <v>13.704178556310465</v>
      </c>
      <c r="T32" s="143">
        <v>3</v>
      </c>
      <c r="V32" s="225">
        <v>20</v>
      </c>
      <c r="W32" s="143">
        <f t="shared" si="1"/>
        <v>0</v>
      </c>
      <c r="X32" s="143">
        <f>IF(OR(K32&gt;Cuts!$B$16, L32&gt;Cuts!B$16), 1,0)</f>
        <v>0</v>
      </c>
      <c r="Y32" s="246">
        <f>IF(OR(C32&gt;Cuts!$C$16, D32&gt;Cuts!$C$16),1,0)</f>
        <v>0</v>
      </c>
      <c r="Z32" s="143">
        <f t="shared" si="2"/>
        <v>0</v>
      </c>
    </row>
    <row r="33" spans="1:26">
      <c r="A33" s="78">
        <v>21</v>
      </c>
      <c r="B33" s="140"/>
      <c r="C33" s="257">
        <v>204</v>
      </c>
      <c r="D33" s="54">
        <v>204</v>
      </c>
      <c r="E33" s="235">
        <v>0.64</v>
      </c>
      <c r="F33" s="107">
        <v>0.64</v>
      </c>
      <c r="G33" s="107">
        <v>0.64</v>
      </c>
      <c r="H33" s="107">
        <v>0.64</v>
      </c>
      <c r="I33" s="107">
        <v>0.64</v>
      </c>
      <c r="J33" s="260">
        <v>0.64</v>
      </c>
      <c r="K33" s="72">
        <v>26.28</v>
      </c>
      <c r="L33" s="73">
        <v>26.42</v>
      </c>
      <c r="M33" s="79"/>
      <c r="N33" s="80" t="s">
        <v>88</v>
      </c>
      <c r="O33" s="80"/>
      <c r="P33" s="75"/>
      <c r="Q33" s="76" t="s">
        <v>93</v>
      </c>
      <c r="R33" s="145">
        <v>47.3</v>
      </c>
      <c r="S33" s="64">
        <f t="shared" si="0"/>
        <v>13.748976820329649</v>
      </c>
      <c r="T33" s="143">
        <v>3</v>
      </c>
      <c r="V33" s="225">
        <v>21</v>
      </c>
      <c r="W33" s="143">
        <f t="shared" si="1"/>
        <v>0</v>
      </c>
      <c r="X33" s="143">
        <f>IF(OR(K33&gt;Cuts!$B$16, L33&gt;Cuts!B$16), 1,0)</f>
        <v>0</v>
      </c>
      <c r="Y33" s="246">
        <f>IF(OR(C33&gt;Cuts!$C$16, D33&gt;Cuts!$C$16),1,0)</f>
        <v>0</v>
      </c>
      <c r="Z33" s="143">
        <f t="shared" si="2"/>
        <v>1</v>
      </c>
    </row>
    <row r="34" spans="1:26">
      <c r="A34" s="78">
        <v>22</v>
      </c>
      <c r="B34" s="140"/>
      <c r="C34" s="257">
        <v>204</v>
      </c>
      <c r="D34" s="54">
        <v>204</v>
      </c>
      <c r="E34" s="235">
        <v>0.63</v>
      </c>
      <c r="F34" s="107">
        <v>0.62</v>
      </c>
      <c r="G34" s="107">
        <v>0.64</v>
      </c>
      <c r="H34" s="107">
        <v>0.64</v>
      </c>
      <c r="I34" s="107">
        <v>0.64</v>
      </c>
      <c r="J34" s="260">
        <v>0.63</v>
      </c>
      <c r="K34" s="72">
        <v>26.32</v>
      </c>
      <c r="L34" s="73">
        <v>26.35</v>
      </c>
      <c r="M34" s="79"/>
      <c r="N34" s="80" t="s">
        <v>89</v>
      </c>
      <c r="O34" s="80" t="s">
        <v>89</v>
      </c>
      <c r="P34" s="75"/>
      <c r="Q34" s="76" t="s">
        <v>93</v>
      </c>
      <c r="R34" s="145">
        <v>46.6</v>
      </c>
      <c r="S34" s="64">
        <f t="shared" si="0"/>
        <v>13.695884357360303</v>
      </c>
      <c r="T34" s="143">
        <v>3</v>
      </c>
      <c r="V34" s="225">
        <v>22</v>
      </c>
      <c r="W34" s="143">
        <f t="shared" si="1"/>
        <v>0</v>
      </c>
      <c r="X34" s="143">
        <f>IF(OR(K34&gt;Cuts!$B$16, L34&gt;Cuts!B$16), 1,0)</f>
        <v>0</v>
      </c>
      <c r="Y34" s="246">
        <f>IF(OR(C34&gt;Cuts!$C$16, D34&gt;Cuts!$C$16),1,0)</f>
        <v>0</v>
      </c>
      <c r="Z34" s="143">
        <f t="shared" si="2"/>
        <v>0</v>
      </c>
    </row>
    <row r="35" spans="1:26">
      <c r="A35" s="78">
        <v>23</v>
      </c>
      <c r="B35" s="140"/>
      <c r="C35" s="257">
        <v>204</v>
      </c>
      <c r="D35" s="54">
        <v>204</v>
      </c>
      <c r="E35" s="235">
        <v>0.64</v>
      </c>
      <c r="F35" s="107">
        <v>0.64</v>
      </c>
      <c r="G35" s="107">
        <v>0.63</v>
      </c>
      <c r="H35" s="107">
        <v>0.63</v>
      </c>
      <c r="I35" s="107">
        <v>0.63</v>
      </c>
      <c r="J35" s="260">
        <v>0.62</v>
      </c>
      <c r="K35" s="72">
        <v>26.28</v>
      </c>
      <c r="L35" s="73">
        <v>26.44</v>
      </c>
      <c r="M35" s="79" t="s">
        <v>89</v>
      </c>
      <c r="N35" s="80"/>
      <c r="O35" s="80"/>
      <c r="P35" s="75"/>
      <c r="Q35" s="76" t="s">
        <v>93</v>
      </c>
      <c r="R35" s="145">
        <v>46.6</v>
      </c>
      <c r="S35" s="64">
        <f t="shared" si="0"/>
        <v>13.718997714756483</v>
      </c>
      <c r="T35" s="143">
        <v>3</v>
      </c>
      <c r="V35" s="225">
        <v>23</v>
      </c>
      <c r="W35" s="143">
        <f t="shared" si="1"/>
        <v>0</v>
      </c>
      <c r="X35" s="143">
        <f>IF(OR(K35&gt;Cuts!$B$16, L35&gt;Cuts!B$16), 1,0)</f>
        <v>0</v>
      </c>
      <c r="Y35" s="246">
        <f>IF(OR(C35&gt;Cuts!$C$16, D35&gt;Cuts!$C$16),1,0)</f>
        <v>0</v>
      </c>
      <c r="Z35" s="143">
        <f t="shared" si="2"/>
        <v>0</v>
      </c>
    </row>
    <row r="36" spans="1:26">
      <c r="A36" s="78">
        <v>24</v>
      </c>
      <c r="B36" s="140"/>
      <c r="C36" s="257">
        <v>204</v>
      </c>
      <c r="D36" s="54">
        <v>204</v>
      </c>
      <c r="E36" s="235">
        <v>0.63</v>
      </c>
      <c r="F36" s="107">
        <v>0.62</v>
      </c>
      <c r="G36" s="107">
        <v>0.63</v>
      </c>
      <c r="H36" s="107">
        <v>0.62</v>
      </c>
      <c r="I36" s="107">
        <v>0.62</v>
      </c>
      <c r="J36" s="260">
        <v>0.61</v>
      </c>
      <c r="K36" s="72">
        <v>26.25</v>
      </c>
      <c r="L36" s="73">
        <v>26.25</v>
      </c>
      <c r="M36" s="79" t="s">
        <v>89</v>
      </c>
      <c r="N36" s="80"/>
      <c r="O36" s="80"/>
      <c r="P36" s="75"/>
      <c r="Q36" s="77"/>
      <c r="R36" s="145">
        <v>44.8</v>
      </c>
      <c r="S36" s="64">
        <f t="shared" si="0"/>
        <v>13.457393681333121</v>
      </c>
      <c r="T36" s="143">
        <v>3</v>
      </c>
      <c r="V36" s="225">
        <v>24</v>
      </c>
      <c r="W36" s="143">
        <f t="shared" si="1"/>
        <v>0</v>
      </c>
      <c r="X36" s="143">
        <f>IF(OR(K36&gt;Cuts!$B$16, L36&gt;Cuts!B$16), 1,0)</f>
        <v>0</v>
      </c>
      <c r="Y36" s="246">
        <f>IF(OR(C36&gt;Cuts!$C$16, D36&gt;Cuts!$C$16),1,0)</f>
        <v>0</v>
      </c>
      <c r="Z36" s="143">
        <f t="shared" si="2"/>
        <v>0</v>
      </c>
    </row>
    <row r="37" spans="1:26">
      <c r="A37" s="78">
        <v>25</v>
      </c>
      <c r="B37" s="140"/>
      <c r="C37" s="257">
        <v>204</v>
      </c>
      <c r="D37" s="54">
        <v>204</v>
      </c>
      <c r="E37" s="235">
        <v>0.64</v>
      </c>
      <c r="F37" s="107">
        <v>0.64</v>
      </c>
      <c r="G37" s="107">
        <v>0.64</v>
      </c>
      <c r="H37" s="107">
        <v>0.63</v>
      </c>
      <c r="I37" s="107">
        <v>0.64</v>
      </c>
      <c r="J37" s="260">
        <v>0.63</v>
      </c>
      <c r="K37" s="72">
        <v>26.16</v>
      </c>
      <c r="L37" s="144">
        <v>26.22</v>
      </c>
      <c r="M37" s="79" t="s">
        <v>89</v>
      </c>
      <c r="N37" s="80"/>
      <c r="O37" s="80"/>
      <c r="P37" s="75"/>
      <c r="Q37" s="77"/>
      <c r="R37" s="145">
        <v>46.4</v>
      </c>
      <c r="S37" s="64">
        <f t="shared" si="0"/>
        <v>13.640811331939384</v>
      </c>
      <c r="T37" s="143">
        <v>3</v>
      </c>
      <c r="V37" s="225">
        <v>25</v>
      </c>
      <c r="W37" s="143">
        <f t="shared" si="1"/>
        <v>0</v>
      </c>
      <c r="X37" s="143">
        <f>IF(OR(K37&gt;Cuts!$B$16, L37&gt;Cuts!B$16), 1,0)</f>
        <v>0</v>
      </c>
      <c r="Y37" s="246">
        <f>IF(OR(C37&gt;Cuts!$C$16, D37&gt;Cuts!$C$16),1,0)</f>
        <v>0</v>
      </c>
      <c r="Z37" s="143">
        <f t="shared" si="2"/>
        <v>0</v>
      </c>
    </row>
    <row r="38" spans="1:26">
      <c r="A38" s="78">
        <v>26</v>
      </c>
      <c r="B38" s="140"/>
      <c r="C38" s="257">
        <v>204</v>
      </c>
      <c r="D38" s="54">
        <v>204</v>
      </c>
      <c r="E38" s="235">
        <v>0.64</v>
      </c>
      <c r="F38" s="107">
        <v>0.63</v>
      </c>
      <c r="G38" s="107">
        <v>0.64</v>
      </c>
      <c r="H38" s="107">
        <v>0.63</v>
      </c>
      <c r="I38" s="107">
        <v>0.64</v>
      </c>
      <c r="J38" s="260">
        <v>0.63</v>
      </c>
      <c r="K38" s="72">
        <v>26.24</v>
      </c>
      <c r="L38" s="73">
        <v>26.22</v>
      </c>
      <c r="M38" s="79"/>
      <c r="N38" s="80"/>
      <c r="O38" s="80"/>
      <c r="P38" s="75"/>
      <c r="Q38" s="76"/>
      <c r="R38" s="145">
        <v>46.7</v>
      </c>
      <c r="S38" s="64">
        <f t="shared" si="0"/>
        <v>13.744049076909054</v>
      </c>
      <c r="T38" s="143">
        <v>3</v>
      </c>
      <c r="V38" s="225">
        <v>26</v>
      </c>
      <c r="W38" s="143">
        <f t="shared" si="1"/>
        <v>0</v>
      </c>
      <c r="X38" s="143">
        <f>IF(OR(K38&gt;Cuts!$B$16, L38&gt;Cuts!B$16), 1,0)</f>
        <v>0</v>
      </c>
      <c r="Y38" s="246">
        <f>IF(OR(C38&gt;Cuts!$C$16, D38&gt;Cuts!$C$16),1,0)</f>
        <v>0</v>
      </c>
      <c r="Z38" s="143">
        <f t="shared" si="2"/>
        <v>0</v>
      </c>
    </row>
    <row r="39" spans="1:26">
      <c r="A39" s="78">
        <v>27</v>
      </c>
      <c r="B39" s="140"/>
      <c r="C39" s="257">
        <v>204</v>
      </c>
      <c r="D39" s="54">
        <v>204</v>
      </c>
      <c r="E39" s="235">
        <v>0.63</v>
      </c>
      <c r="F39" s="107">
        <v>0.63</v>
      </c>
      <c r="G39" s="107">
        <v>0.63</v>
      </c>
      <c r="H39" s="107">
        <v>0.62</v>
      </c>
      <c r="I39" s="107">
        <v>0.63</v>
      </c>
      <c r="J39" s="260">
        <v>0.62</v>
      </c>
      <c r="K39" s="72">
        <v>26.28</v>
      </c>
      <c r="L39" s="73">
        <v>26.42</v>
      </c>
      <c r="M39" s="79"/>
      <c r="N39" s="80"/>
      <c r="O39" s="80" t="s">
        <v>89</v>
      </c>
      <c r="P39" s="75"/>
      <c r="Q39" s="76"/>
      <c r="R39" s="145">
        <v>46</v>
      </c>
      <c r="S39" s="64">
        <f t="shared" si="0"/>
        <v>13.655589410862248</v>
      </c>
      <c r="T39" s="143">
        <v>3</v>
      </c>
      <c r="V39" s="225">
        <v>27</v>
      </c>
      <c r="W39" s="143">
        <f t="shared" si="1"/>
        <v>0</v>
      </c>
      <c r="X39" s="143">
        <f>IF(OR(K39&gt;Cuts!$B$16, L39&gt;Cuts!B$16), 1,0)</f>
        <v>0</v>
      </c>
      <c r="Y39" s="246">
        <f>IF(OR(C39&gt;Cuts!$C$16, D39&gt;Cuts!$C$16),1,0)</f>
        <v>0</v>
      </c>
      <c r="Z39" s="143">
        <f t="shared" si="2"/>
        <v>0</v>
      </c>
    </row>
    <row r="40" spans="1:26">
      <c r="A40" s="78">
        <v>28</v>
      </c>
      <c r="B40" s="140"/>
      <c r="C40" s="257">
        <v>204</v>
      </c>
      <c r="D40" s="54">
        <v>204</v>
      </c>
      <c r="E40" s="235">
        <v>0.63</v>
      </c>
      <c r="F40" s="107">
        <v>0.62</v>
      </c>
      <c r="G40" s="107">
        <v>0.64</v>
      </c>
      <c r="H40" s="107">
        <v>0.63</v>
      </c>
      <c r="I40" s="107">
        <v>0.64</v>
      </c>
      <c r="J40" s="260">
        <v>0.63</v>
      </c>
      <c r="K40" s="72">
        <v>26.25</v>
      </c>
      <c r="L40" s="73">
        <v>26.27</v>
      </c>
      <c r="M40" s="79"/>
      <c r="N40" s="80"/>
      <c r="O40" s="80"/>
      <c r="P40" s="75"/>
      <c r="Q40" s="76"/>
      <c r="R40" s="145">
        <v>46.2</v>
      </c>
      <c r="S40" s="64">
        <f t="shared" si="0"/>
        <v>13.653032586774479</v>
      </c>
      <c r="T40" s="143">
        <v>3</v>
      </c>
      <c r="V40" s="225">
        <v>28</v>
      </c>
      <c r="W40" s="143">
        <f t="shared" si="1"/>
        <v>0</v>
      </c>
      <c r="X40" s="143">
        <f>IF(OR(K40&gt;Cuts!$B$16, L40&gt;Cuts!B$16), 1,0)</f>
        <v>0</v>
      </c>
      <c r="Y40" s="246">
        <f>IF(OR(C40&gt;Cuts!$C$16, D40&gt;Cuts!$C$16),1,0)</f>
        <v>0</v>
      </c>
      <c r="Z40" s="143">
        <f t="shared" si="2"/>
        <v>0</v>
      </c>
    </row>
    <row r="41" spans="1:26">
      <c r="A41" s="223">
        <v>29</v>
      </c>
      <c r="B41" s="130"/>
      <c r="C41" s="258">
        <v>204</v>
      </c>
      <c r="D41" s="259">
        <v>204</v>
      </c>
      <c r="E41" s="237">
        <v>0.63</v>
      </c>
      <c r="F41" s="113">
        <v>0.63</v>
      </c>
      <c r="G41" s="113">
        <v>0.63</v>
      </c>
      <c r="H41" s="113">
        <v>0.64</v>
      </c>
      <c r="I41" s="113">
        <v>0.63</v>
      </c>
      <c r="J41" s="261">
        <v>0.63</v>
      </c>
      <c r="K41" s="88">
        <v>26.48</v>
      </c>
      <c r="L41" s="89">
        <v>26.29</v>
      </c>
      <c r="M41" s="242"/>
      <c r="N41" s="112"/>
      <c r="O41" s="112" t="s">
        <v>89</v>
      </c>
      <c r="P41" s="93"/>
      <c r="Q41" s="243"/>
      <c r="R41" s="151">
        <v>46.4</v>
      </c>
      <c r="S41" s="96">
        <f t="shared" si="0"/>
        <v>13.647174824515419</v>
      </c>
      <c r="T41" s="152">
        <v>3</v>
      </c>
      <c r="V41" s="252">
        <v>29</v>
      </c>
      <c r="W41" s="152">
        <f t="shared" si="1"/>
        <v>0</v>
      </c>
      <c r="X41" s="152">
        <f>IF(OR(K41&gt;Cuts!$B$16, L41&gt;Cuts!B$16), 1,0)</f>
        <v>0</v>
      </c>
      <c r="Y41" s="248">
        <f>IF(OR(C41&gt;Cuts!$C$16, D41&gt;Cuts!$C$16),1,0)</f>
        <v>0</v>
      </c>
      <c r="Z41" s="152">
        <f t="shared" si="2"/>
        <v>0</v>
      </c>
    </row>
    <row r="42" spans="1:26" s="97" customFormat="1">
      <c r="M42" s="174"/>
      <c r="N42" s="174"/>
      <c r="O42" s="174"/>
      <c r="P42" s="175"/>
      <c r="W42" s="97">
        <f>SUM(W12:W41)</f>
        <v>0</v>
      </c>
      <c r="X42" s="97">
        <f>SUM(X12:X41)</f>
        <v>1</v>
      </c>
      <c r="Y42" s="97">
        <f>SUM(Y12:Y41)</f>
        <v>0</v>
      </c>
      <c r="Z42" s="97">
        <f>SUM(Z12:Z41)</f>
        <v>1</v>
      </c>
    </row>
    <row r="43" spans="1:26">
      <c r="M43" s="80"/>
      <c r="N43" s="110"/>
      <c r="O43" s="110"/>
      <c r="P43" s="75"/>
    </row>
    <row r="44" spans="1:26">
      <c r="A44" s="66" t="s">
        <v>114</v>
      </c>
      <c r="C44" s="57" t="s">
        <v>132</v>
      </c>
      <c r="E44" s="57" t="s">
        <v>133</v>
      </c>
      <c r="K44" s="57" t="s">
        <v>130</v>
      </c>
      <c r="R44" s="57" t="s">
        <v>134</v>
      </c>
      <c r="S44" s="57" t="s">
        <v>135</v>
      </c>
    </row>
    <row r="45" spans="1:26">
      <c r="A45" s="66"/>
    </row>
    <row r="46" spans="1:26">
      <c r="A46" s="57" t="s">
        <v>116</v>
      </c>
      <c r="C46" s="57">
        <f>8*25.4</f>
        <v>203.2</v>
      </c>
      <c r="E46" s="65">
        <f>C6</f>
        <v>0.63500000000000001</v>
      </c>
      <c r="K46" s="102">
        <v>25.4</v>
      </c>
    </row>
    <row r="47" spans="1:26">
      <c r="A47" s="57" t="s">
        <v>111</v>
      </c>
      <c r="C47" s="57">
        <f>MODE(C12:D41)</f>
        <v>204</v>
      </c>
      <c r="E47" s="57">
        <f>MODE(E12:J41)</f>
        <v>0.63</v>
      </c>
      <c r="K47" s="57">
        <f>MODE(K12:L41)</f>
        <v>26.29</v>
      </c>
      <c r="R47" s="57">
        <f>MODE(R12:R41)</f>
        <v>46.6</v>
      </c>
      <c r="S47" s="57" t="e">
        <f>MODE(S12:S41)</f>
        <v>#N/A</v>
      </c>
    </row>
    <row r="48" spans="1:26">
      <c r="A48" s="57" t="s">
        <v>110</v>
      </c>
      <c r="C48" s="121">
        <f>AVERAGE(C12:D41)</f>
        <v>204</v>
      </c>
      <c r="D48" s="121"/>
      <c r="E48" s="65">
        <f>AVERAGE(E12:J41)</f>
        <v>0.6309444444444442</v>
      </c>
      <c r="K48" s="153">
        <f>AVERAGE(K12:L41)</f>
        <v>26.350666666666665</v>
      </c>
      <c r="R48" s="104">
        <f>AVERAGE(R12:R41)</f>
        <v>46.253333333333337</v>
      </c>
      <c r="S48" s="104">
        <f>AVERAGE(S12:S41)</f>
        <v>13.635419782960273</v>
      </c>
    </row>
    <row r="49" spans="1:19">
      <c r="A49" s="57" t="s">
        <v>117</v>
      </c>
      <c r="C49" s="57">
        <f>STDEV(C12:D41)</f>
        <v>0</v>
      </c>
      <c r="E49" s="57">
        <f>STDEV(E12:J41)</f>
        <v>9.3770921522364041E-3</v>
      </c>
      <c r="K49" s="57">
        <f>STDEV(K12:L41)</f>
        <v>0.26321265918454806</v>
      </c>
      <c r="R49" s="57">
        <f>STDEV(R12:R41)</f>
        <v>1.2010723178239595</v>
      </c>
      <c r="S49" s="57">
        <f>STDEV(S12:S41)</f>
        <v>0.14329953543747151</v>
      </c>
    </row>
    <row r="50" spans="1:19">
      <c r="A50" s="154" t="s">
        <v>118</v>
      </c>
      <c r="E50" s="65">
        <f>E48+E49</f>
        <v>0.64032153659668056</v>
      </c>
      <c r="K50" s="153">
        <f>K48+K49</f>
        <v>26.613879325851215</v>
      </c>
      <c r="R50" s="57">
        <f>R48+R49</f>
        <v>47.454405651157295</v>
      </c>
      <c r="S50" s="104">
        <f>S48+S49</f>
        <v>13.778719318397744</v>
      </c>
    </row>
    <row r="51" spans="1:19">
      <c r="A51" s="154" t="s">
        <v>119</v>
      </c>
      <c r="E51" s="65">
        <f>E48-E49</f>
        <v>0.62156735229220783</v>
      </c>
      <c r="K51" s="153">
        <f>K48-K49</f>
        <v>26.087454007482116</v>
      </c>
      <c r="R51" s="57">
        <f>R48-R49</f>
        <v>45.05226101550938</v>
      </c>
      <c r="S51" s="104">
        <f>S48-S49</f>
        <v>13.492120247522802</v>
      </c>
    </row>
    <row r="52" spans="1:19">
      <c r="A52" s="57" t="s">
        <v>124</v>
      </c>
      <c r="C52" s="153">
        <f>MAX(C12:D41)-C46</f>
        <v>0.80000000000001137</v>
      </c>
      <c r="E52" s="65">
        <f>MAX($E$12:$I$41)-$E$46</f>
        <v>2.5000000000000022E-2</v>
      </c>
      <c r="K52" s="153">
        <f>MAX(K12:L41)-$K$46</f>
        <v>2.2600000000000016</v>
      </c>
    </row>
    <row r="53" spans="1:19">
      <c r="A53" s="57" t="s">
        <v>125</v>
      </c>
      <c r="C53" s="153">
        <f>MIN(C12:D41)-C46</f>
        <v>0.80000000000001137</v>
      </c>
      <c r="E53" s="65">
        <f>MIN($E$12:$I$41)-$E$46</f>
        <v>-3.5000000000000031E-2</v>
      </c>
      <c r="K53" s="153">
        <f>MIN(K12:L41)-K46</f>
        <v>0.58000000000000185</v>
      </c>
    </row>
    <row r="54" spans="1:19" ht="15.75" thickBot="1"/>
    <row r="55" spans="1:19">
      <c r="A55" s="57" t="s">
        <v>146</v>
      </c>
      <c r="C55" s="40" t="s">
        <v>147</v>
      </c>
      <c r="D55" s="40" t="s">
        <v>149</v>
      </c>
    </row>
    <row r="56" spans="1:19">
      <c r="A56" s="57">
        <v>0.59</v>
      </c>
      <c r="C56" s="123">
        <v>0.59</v>
      </c>
      <c r="D56" s="124">
        <v>0</v>
      </c>
    </row>
    <row r="57" spans="1:19">
      <c r="A57" s="57">
        <f>A56+0.01</f>
        <v>0.6</v>
      </c>
      <c r="C57" s="123">
        <v>0.6</v>
      </c>
      <c r="D57" s="124">
        <v>1</v>
      </c>
    </row>
    <row r="58" spans="1:19">
      <c r="A58" s="57">
        <f t="shared" ref="A58:A65" si="3">A57+0.01</f>
        <v>0.61</v>
      </c>
      <c r="C58" s="123">
        <v>0.61</v>
      </c>
      <c r="D58" s="124">
        <v>8</v>
      </c>
    </row>
    <row r="59" spans="1:19">
      <c r="A59" s="57">
        <f t="shared" si="3"/>
        <v>0.62</v>
      </c>
      <c r="C59" s="123">
        <v>0.62</v>
      </c>
      <c r="D59" s="124">
        <v>28</v>
      </c>
    </row>
    <row r="60" spans="1:19">
      <c r="A60" s="57">
        <f t="shared" si="3"/>
        <v>0.63</v>
      </c>
      <c r="C60" s="123">
        <v>0.63</v>
      </c>
      <c r="D60" s="124">
        <v>89</v>
      </c>
    </row>
    <row r="61" spans="1:19">
      <c r="A61" s="57">
        <f t="shared" si="3"/>
        <v>0.64</v>
      </c>
      <c r="C61" s="123">
        <v>0.64</v>
      </c>
      <c r="D61" s="124">
        <v>47</v>
      </c>
    </row>
    <row r="62" spans="1:19">
      <c r="A62" s="57">
        <f t="shared" si="3"/>
        <v>0.65</v>
      </c>
      <c r="C62" s="123">
        <v>0.65</v>
      </c>
      <c r="D62" s="124">
        <v>4</v>
      </c>
    </row>
    <row r="63" spans="1:19">
      <c r="A63" s="57">
        <f t="shared" si="3"/>
        <v>0.66</v>
      </c>
      <c r="C63" s="123">
        <v>0.66</v>
      </c>
      <c r="D63" s="124">
        <v>3</v>
      </c>
    </row>
    <row r="64" spans="1:19">
      <c r="A64" s="57">
        <f t="shared" si="3"/>
        <v>0.67</v>
      </c>
      <c r="C64" s="123">
        <v>0.67</v>
      </c>
      <c r="D64" s="124">
        <v>0</v>
      </c>
    </row>
    <row r="65" spans="1:4">
      <c r="A65" s="57">
        <f t="shared" si="3"/>
        <v>0.68</v>
      </c>
      <c r="C65" s="123">
        <v>0.68</v>
      </c>
      <c r="D65" s="124">
        <v>0</v>
      </c>
    </row>
    <row r="66" spans="1:4" ht="15.75" thickBot="1">
      <c r="C66" s="125" t="s">
        <v>148</v>
      </c>
      <c r="D66" s="125">
        <v>0</v>
      </c>
    </row>
  </sheetData>
  <sortState ref="C56:C65">
    <sortCondition ref="C56"/>
  </sortState>
  <mergeCells count="4">
    <mergeCell ref="C9:D9"/>
    <mergeCell ref="E9:I9"/>
    <mergeCell ref="K9:L9"/>
    <mergeCell ref="M9:P9"/>
  </mergeCells>
  <pageMargins left="0.25" right="0.25" top="0.25" bottom="0.25" header="0.3" footer="0.3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Z78"/>
  <sheetViews>
    <sheetView topLeftCell="A31" zoomScale="75" zoomScaleNormal="75" workbookViewId="0">
      <selection activeCell="B46" sqref="B46"/>
    </sheetView>
  </sheetViews>
  <sheetFormatPr defaultRowHeight="15"/>
  <cols>
    <col min="1" max="1" width="6.28515625" style="57" customWidth="1"/>
    <col min="2" max="2" width="16.140625" style="57" customWidth="1"/>
    <col min="3" max="4" width="5.140625" style="57" customWidth="1"/>
    <col min="5" max="9" width="6.85546875" style="57" customWidth="1"/>
    <col min="10" max="10" width="6.85546875" style="57" bestFit="1" customWidth="1"/>
    <col min="11" max="12" width="6.85546875" style="57" customWidth="1"/>
    <col min="13" max="16" width="3.7109375" style="57" customWidth="1"/>
    <col min="17" max="17" width="7.140625" style="57" customWidth="1"/>
    <col min="18" max="18" width="5.5703125" style="57" customWidth="1"/>
    <col min="19" max="19" width="5.140625" style="57" customWidth="1"/>
    <col min="20" max="20" width="9.85546875" style="57" customWidth="1"/>
    <col min="21" max="22" width="9.140625" style="57"/>
    <col min="23" max="25" width="9.28515625" style="57" bestFit="1" customWidth="1"/>
    <col min="26" max="16384" width="9.140625" style="57"/>
  </cols>
  <sheetData>
    <row r="1" spans="1:26">
      <c r="A1" s="57" t="s">
        <v>0</v>
      </c>
      <c r="B1" s="52"/>
      <c r="C1" s="70"/>
      <c r="D1" s="70"/>
      <c r="E1" s="52"/>
      <c r="F1" s="52"/>
      <c r="G1" s="52"/>
      <c r="H1" s="52"/>
      <c r="I1" s="52"/>
      <c r="J1" s="52"/>
      <c r="K1" s="70"/>
      <c r="L1" s="70"/>
      <c r="M1" s="52"/>
      <c r="N1" s="52"/>
      <c r="O1" s="52"/>
      <c r="P1" s="52"/>
      <c r="Q1" s="52"/>
      <c r="R1" s="127"/>
      <c r="S1" s="127"/>
      <c r="T1" s="127"/>
    </row>
    <row r="2" spans="1:26">
      <c r="A2" s="57" t="s">
        <v>1</v>
      </c>
      <c r="B2" s="52"/>
      <c r="C2" s="70"/>
      <c r="D2" s="70"/>
      <c r="E2" s="52"/>
      <c r="F2" s="52"/>
      <c r="G2" s="52"/>
      <c r="H2" s="52"/>
      <c r="I2" s="52"/>
      <c r="J2" s="52"/>
      <c r="K2" s="70"/>
      <c r="L2" s="70"/>
      <c r="M2" s="52"/>
      <c r="N2" s="52"/>
      <c r="O2" s="52"/>
      <c r="P2" s="52"/>
      <c r="Q2" s="52"/>
      <c r="R2" s="127"/>
      <c r="S2" s="127"/>
      <c r="T2" s="127"/>
    </row>
    <row r="3" spans="1:26">
      <c r="A3" s="57" t="s">
        <v>58</v>
      </c>
      <c r="B3" s="52"/>
      <c r="C3" s="70"/>
      <c r="D3" s="70"/>
      <c r="E3" s="52"/>
      <c r="F3" s="52"/>
      <c r="G3" s="52"/>
      <c r="H3" s="52"/>
      <c r="I3" s="52"/>
      <c r="J3" s="52"/>
      <c r="K3" s="70"/>
      <c r="L3" s="70"/>
      <c r="M3" s="52"/>
      <c r="N3" s="52"/>
      <c r="O3" s="52"/>
      <c r="P3" s="52"/>
      <c r="Q3" s="52"/>
      <c r="R3" s="127"/>
      <c r="S3" s="127"/>
      <c r="T3" s="127"/>
    </row>
    <row r="4" spans="1:26">
      <c r="B4" s="52"/>
      <c r="C4" s="70"/>
      <c r="D4" s="70"/>
      <c r="E4" s="52"/>
      <c r="F4" s="52"/>
      <c r="G4" s="52"/>
      <c r="H4" s="52"/>
      <c r="I4" s="52"/>
      <c r="J4" s="52"/>
      <c r="K4" s="70"/>
      <c r="L4" s="70"/>
      <c r="M4" s="52"/>
      <c r="N4" s="52"/>
      <c r="O4" s="52"/>
      <c r="P4" s="52"/>
      <c r="Q4" s="52"/>
      <c r="R4" s="127"/>
      <c r="S4" s="127"/>
      <c r="T4" s="127"/>
    </row>
    <row r="5" spans="1:26">
      <c r="B5" s="52" t="s">
        <v>112</v>
      </c>
      <c r="C5" s="70" t="s">
        <v>113</v>
      </c>
      <c r="D5" s="70"/>
      <c r="E5" s="52"/>
      <c r="F5" s="52"/>
      <c r="G5" s="52"/>
      <c r="H5" s="52"/>
      <c r="I5" s="52"/>
      <c r="J5" s="52"/>
      <c r="K5" s="70"/>
      <c r="L5" s="70"/>
      <c r="M5" s="52"/>
      <c r="N5" s="52"/>
      <c r="O5" s="52"/>
      <c r="P5" s="52"/>
      <c r="Q5" s="52"/>
      <c r="R5" s="127"/>
      <c r="S5" s="127"/>
      <c r="T5" s="127"/>
    </row>
    <row r="6" spans="1:26">
      <c r="A6" s="57" t="s">
        <v>73</v>
      </c>
      <c r="B6" s="66">
        <v>0.03</v>
      </c>
      <c r="C6" s="65">
        <f>B6*25.4</f>
        <v>0.7619999999999999</v>
      </c>
      <c r="D6" s="70"/>
      <c r="E6" s="52"/>
      <c r="F6" s="52"/>
      <c r="G6" s="52"/>
      <c r="H6" s="52"/>
      <c r="I6" s="52"/>
      <c r="J6" s="52"/>
      <c r="K6" s="70"/>
      <c r="L6" s="70"/>
      <c r="M6" s="52"/>
      <c r="N6" s="52"/>
      <c r="O6" s="52"/>
      <c r="P6" s="52"/>
      <c r="Q6" s="52"/>
      <c r="R6" s="127"/>
      <c r="S6" s="127"/>
      <c r="T6" s="127"/>
    </row>
    <row r="7" spans="1:26">
      <c r="B7" s="66"/>
      <c r="C7" s="65"/>
      <c r="D7" s="70"/>
      <c r="E7" s="52"/>
      <c r="F7" s="52"/>
      <c r="G7" s="52"/>
      <c r="H7" s="52"/>
      <c r="I7" s="52"/>
      <c r="J7" s="52"/>
      <c r="K7" s="70"/>
      <c r="L7" s="70"/>
      <c r="M7" s="52"/>
      <c r="N7" s="52"/>
      <c r="O7" s="52"/>
      <c r="P7" s="52"/>
      <c r="Q7" s="52"/>
      <c r="R7" s="127"/>
      <c r="S7" s="127"/>
      <c r="T7" s="127"/>
    </row>
    <row r="8" spans="1:26">
      <c r="A8" s="3" t="s">
        <v>115</v>
      </c>
      <c r="B8" s="52"/>
      <c r="C8" s="70"/>
      <c r="D8" s="70"/>
      <c r="E8" s="52"/>
      <c r="F8" s="52"/>
      <c r="G8" s="52"/>
      <c r="H8" s="52"/>
      <c r="I8" s="52"/>
      <c r="J8" s="52"/>
      <c r="K8" s="70"/>
      <c r="L8" s="70"/>
      <c r="M8" s="52"/>
      <c r="N8" s="52"/>
      <c r="O8" s="52"/>
      <c r="P8" s="52"/>
      <c r="Q8" s="52"/>
      <c r="R8" s="127"/>
      <c r="S8" s="127"/>
      <c r="T8" s="127"/>
      <c r="V8" s="50" t="s">
        <v>157</v>
      </c>
      <c r="Y8" s="50"/>
    </row>
    <row r="9" spans="1:26" ht="45">
      <c r="A9" s="111" t="s">
        <v>216</v>
      </c>
      <c r="B9" s="128" t="s">
        <v>60</v>
      </c>
      <c r="C9" s="767" t="s">
        <v>61</v>
      </c>
      <c r="D9" s="768"/>
      <c r="E9" s="766" t="s">
        <v>62</v>
      </c>
      <c r="F9" s="766"/>
      <c r="G9" s="766"/>
      <c r="H9" s="766"/>
      <c r="I9" s="766"/>
      <c r="J9" s="129"/>
      <c r="K9" s="767" t="s">
        <v>63</v>
      </c>
      <c r="L9" s="768"/>
      <c r="M9" s="767" t="s">
        <v>64</v>
      </c>
      <c r="N9" s="765"/>
      <c r="O9" s="765"/>
      <c r="P9" s="765"/>
      <c r="Q9" s="130" t="s">
        <v>91</v>
      </c>
      <c r="R9" s="39" t="s">
        <v>220</v>
      </c>
      <c r="S9" s="228" t="s">
        <v>221</v>
      </c>
      <c r="T9" s="155" t="s">
        <v>101</v>
      </c>
      <c r="V9" s="152" t="s">
        <v>216</v>
      </c>
      <c r="W9" s="133" t="s">
        <v>123</v>
      </c>
      <c r="X9" s="134" t="s">
        <v>155</v>
      </c>
      <c r="Y9" s="152" t="s">
        <v>196</v>
      </c>
      <c r="Z9" s="252" t="s">
        <v>223</v>
      </c>
    </row>
    <row r="10" spans="1:26" s="121" customFormat="1">
      <c r="A10" s="97"/>
      <c r="B10" s="255"/>
      <c r="C10" s="256">
        <v>1</v>
      </c>
      <c r="D10" s="255">
        <v>2</v>
      </c>
      <c r="E10" s="256">
        <v>1</v>
      </c>
      <c r="F10" s="199">
        <v>2</v>
      </c>
      <c r="G10" s="199">
        <v>3</v>
      </c>
      <c r="H10" s="199">
        <v>4</v>
      </c>
      <c r="I10" s="199">
        <v>5</v>
      </c>
      <c r="J10" s="255">
        <v>6</v>
      </c>
      <c r="K10" s="256">
        <v>1</v>
      </c>
      <c r="L10" s="255">
        <v>2</v>
      </c>
      <c r="M10" s="256">
        <v>1</v>
      </c>
      <c r="N10" s="199">
        <v>2</v>
      </c>
      <c r="O10" s="199">
        <v>3</v>
      </c>
      <c r="P10" s="199">
        <v>4</v>
      </c>
      <c r="Q10" s="255"/>
      <c r="R10" s="262"/>
      <c r="S10" s="263"/>
      <c r="T10" s="264"/>
      <c r="V10" s="143"/>
      <c r="W10" s="138"/>
      <c r="X10" s="138"/>
      <c r="Y10" s="138"/>
      <c r="Z10" s="138"/>
    </row>
    <row r="11" spans="1:26">
      <c r="A11" s="66"/>
      <c r="B11" s="159"/>
      <c r="C11" s="233"/>
      <c r="D11" s="234"/>
      <c r="E11" s="233"/>
      <c r="F11" s="71"/>
      <c r="G11" s="71"/>
      <c r="H11" s="71"/>
      <c r="I11" s="71"/>
      <c r="J11" s="234"/>
      <c r="K11" s="233"/>
      <c r="L11" s="234"/>
      <c r="M11" s="60"/>
      <c r="N11" s="61"/>
      <c r="O11" s="61"/>
      <c r="P11" s="61"/>
      <c r="Q11" s="274"/>
      <c r="R11" s="145"/>
      <c r="S11" s="141"/>
      <c r="T11" s="143"/>
      <c r="V11" s="143"/>
      <c r="W11" s="142"/>
      <c r="X11" s="143"/>
      <c r="Y11" s="143"/>
      <c r="Z11" s="143"/>
    </row>
    <row r="12" spans="1:26">
      <c r="A12" s="66">
        <v>1</v>
      </c>
      <c r="B12" s="159"/>
      <c r="C12" s="257">
        <v>204</v>
      </c>
      <c r="D12" s="54">
        <v>204</v>
      </c>
      <c r="E12" s="268">
        <v>0.74</v>
      </c>
      <c r="F12" s="176">
        <v>0.75</v>
      </c>
      <c r="G12" s="176">
        <v>0.74</v>
      </c>
      <c r="H12" s="176">
        <v>0.75</v>
      </c>
      <c r="I12" s="176">
        <v>0.74</v>
      </c>
      <c r="J12" s="269">
        <v>0.75</v>
      </c>
      <c r="K12" s="72">
        <v>25.94</v>
      </c>
      <c r="L12" s="144">
        <v>25.99</v>
      </c>
      <c r="M12" s="275"/>
      <c r="N12" s="177"/>
      <c r="O12" s="177"/>
      <c r="P12" s="178"/>
      <c r="Q12" s="274" t="s">
        <v>93</v>
      </c>
      <c r="R12" s="145">
        <v>53.8</v>
      </c>
      <c r="S12" s="64">
        <f t="shared" ref="S12:S53" si="0">R12/(AVERAGE(C12:D12)*AVERAGE(E12:J12)*AVERAGE(K12:L12)*0.001)</f>
        <v>13.633504585862404</v>
      </c>
      <c r="T12" s="143">
        <v>3</v>
      </c>
      <c r="V12" s="143">
        <v>1</v>
      </c>
      <c r="W12" s="143">
        <f t="shared" ref="W12:W53" si="1">IF(OR(ABS(E12-$C$6)&gt;($C$6*0.1),ABS(F12-$C$6)&gt;($C$6*0.1),ABS(G12-$C$6)&gt;($C$6*0.1),ABS(H12-$C$6)&gt;($C$6*0.1),ABS(I12-$C$6)&gt;($C$6*0.1),ABS(J12-$C$6)&gt;($C$6*0.1)),1,0)</f>
        <v>0</v>
      </c>
      <c r="X12" s="143">
        <f>IF(OR(K12&gt;Cuts!$B$16, L12&gt;Cuts!B$16), 1,0)</f>
        <v>0</v>
      </c>
      <c r="Y12" s="246">
        <f>IF(OR(C12&gt;Cuts!$C$16, D12&gt;Cuts!$C$16),1,0)</f>
        <v>0</v>
      </c>
      <c r="Z12" s="143">
        <f>IF(OR(M12="Y",N12="Y",O12="Y",P12="Y"),1,0)</f>
        <v>0</v>
      </c>
    </row>
    <row r="13" spans="1:26">
      <c r="A13" s="66">
        <f>A12+1</f>
        <v>2</v>
      </c>
      <c r="B13" s="159"/>
      <c r="C13" s="257">
        <v>204</v>
      </c>
      <c r="D13" s="54">
        <v>204</v>
      </c>
      <c r="E13" s="268">
        <v>0.78</v>
      </c>
      <c r="F13" s="176">
        <v>0.78</v>
      </c>
      <c r="G13" s="176">
        <v>0.78</v>
      </c>
      <c r="H13" s="176">
        <v>0.78</v>
      </c>
      <c r="I13" s="176">
        <v>0.77</v>
      </c>
      <c r="J13" s="269">
        <v>0.77</v>
      </c>
      <c r="K13" s="72">
        <v>26.53</v>
      </c>
      <c r="L13" s="144">
        <v>25.98</v>
      </c>
      <c r="M13" s="275"/>
      <c r="N13" s="177"/>
      <c r="O13" s="177"/>
      <c r="P13" s="178"/>
      <c r="Q13" s="276"/>
      <c r="R13" s="145">
        <v>55.8</v>
      </c>
      <c r="S13" s="64">
        <f t="shared" si="0"/>
        <v>13.413970366472071</v>
      </c>
      <c r="T13" s="143">
        <v>3</v>
      </c>
      <c r="V13" s="143">
        <f>V12+1</f>
        <v>2</v>
      </c>
      <c r="W13" s="143">
        <f t="shared" si="1"/>
        <v>0</v>
      </c>
      <c r="X13" s="143">
        <f>IF(OR(K13&gt;Cuts!$B$16, L13&gt;Cuts!B$16), 1,0)</f>
        <v>0</v>
      </c>
      <c r="Y13" s="246">
        <f>IF(OR(C13&gt;Cuts!$C$16, D13&gt;Cuts!$C$16),1,0)</f>
        <v>0</v>
      </c>
      <c r="Z13" s="143">
        <f t="shared" ref="Z13:Z53" si="2">IF(OR(M13="Y",N13="Y",O13="Y",P13="Y"),1,0)</f>
        <v>0</v>
      </c>
    </row>
    <row r="14" spans="1:26">
      <c r="A14" s="66">
        <f t="shared" ref="A14:A53" si="3">A13+1</f>
        <v>3</v>
      </c>
      <c r="B14" s="159"/>
      <c r="C14" s="257">
        <v>204</v>
      </c>
      <c r="D14" s="54">
        <v>204</v>
      </c>
      <c r="E14" s="60">
        <v>0.78</v>
      </c>
      <c r="F14" s="61">
        <v>0.77</v>
      </c>
      <c r="G14" s="61">
        <v>0.78</v>
      </c>
      <c r="H14" s="61">
        <v>0.77</v>
      </c>
      <c r="I14" s="61">
        <v>0.78</v>
      </c>
      <c r="J14" s="159">
        <v>0.77</v>
      </c>
      <c r="K14" s="72">
        <v>25.93</v>
      </c>
      <c r="L14" s="144">
        <v>26.09</v>
      </c>
      <c r="M14" s="275"/>
      <c r="N14" s="177"/>
      <c r="O14" s="177"/>
      <c r="P14" s="178"/>
      <c r="Q14" s="276"/>
      <c r="R14" s="145">
        <v>55.8</v>
      </c>
      <c r="S14" s="64">
        <f t="shared" si="0"/>
        <v>13.569441617477441</v>
      </c>
      <c r="T14" s="143">
        <v>3</v>
      </c>
      <c r="V14" s="143">
        <f t="shared" ref="V14:V53" si="4">V13+1</f>
        <v>3</v>
      </c>
      <c r="W14" s="143">
        <f t="shared" si="1"/>
        <v>0</v>
      </c>
      <c r="X14" s="143">
        <f>IF(OR(K14&gt;Cuts!$B$16, L14&gt;Cuts!B$16), 1,0)</f>
        <v>0</v>
      </c>
      <c r="Y14" s="246">
        <f>IF(OR(C14&gt;Cuts!$C$16, D14&gt;Cuts!$C$16),1,0)</f>
        <v>0</v>
      </c>
      <c r="Z14" s="143">
        <f t="shared" si="2"/>
        <v>0</v>
      </c>
    </row>
    <row r="15" spans="1:26">
      <c r="A15" s="66">
        <f t="shared" si="3"/>
        <v>4</v>
      </c>
      <c r="B15" s="159"/>
      <c r="C15" s="257">
        <v>204</v>
      </c>
      <c r="D15" s="54">
        <v>204</v>
      </c>
      <c r="E15" s="60">
        <v>0.76</v>
      </c>
      <c r="F15" s="61">
        <v>0.74</v>
      </c>
      <c r="G15" s="61">
        <v>0.76</v>
      </c>
      <c r="H15" s="61">
        <v>0.74</v>
      </c>
      <c r="I15" s="61">
        <v>0.76</v>
      </c>
      <c r="J15" s="159">
        <v>0.74</v>
      </c>
      <c r="K15" s="72">
        <v>26.09</v>
      </c>
      <c r="L15" s="144">
        <v>25.95</v>
      </c>
      <c r="M15" s="275"/>
      <c r="N15" s="177"/>
      <c r="O15" s="177"/>
      <c r="P15" s="178"/>
      <c r="Q15" s="276"/>
      <c r="R15" s="145">
        <v>54.3</v>
      </c>
      <c r="S15" s="64">
        <f t="shared" si="0"/>
        <v>13.639583427529351</v>
      </c>
      <c r="T15" s="143">
        <v>3</v>
      </c>
      <c r="V15" s="143">
        <f t="shared" si="4"/>
        <v>4</v>
      </c>
      <c r="W15" s="143">
        <f t="shared" si="1"/>
        <v>0</v>
      </c>
      <c r="X15" s="143">
        <f>IF(OR(K15&gt;Cuts!$B$16, L15&gt;Cuts!B$16), 1,0)</f>
        <v>0</v>
      </c>
      <c r="Y15" s="246">
        <f>IF(OR(C15&gt;Cuts!$C$16, D15&gt;Cuts!$C$16),1,0)</f>
        <v>0</v>
      </c>
      <c r="Z15" s="143">
        <f t="shared" si="2"/>
        <v>0</v>
      </c>
    </row>
    <row r="16" spans="1:26">
      <c r="A16" s="66">
        <f t="shared" si="3"/>
        <v>5</v>
      </c>
      <c r="B16" s="159"/>
      <c r="C16" s="257">
        <v>204</v>
      </c>
      <c r="D16" s="54">
        <v>204</v>
      </c>
      <c r="E16" s="60">
        <v>0.75</v>
      </c>
      <c r="F16" s="61">
        <v>0.77</v>
      </c>
      <c r="G16" s="61">
        <v>0.76</v>
      </c>
      <c r="H16" s="61">
        <v>0.77</v>
      </c>
      <c r="I16" s="61">
        <v>0.75</v>
      </c>
      <c r="J16" s="159">
        <v>0.76</v>
      </c>
      <c r="K16" s="72">
        <v>26.13</v>
      </c>
      <c r="L16" s="144">
        <v>26.02</v>
      </c>
      <c r="M16" s="275"/>
      <c r="N16" s="177"/>
      <c r="O16" s="177"/>
      <c r="P16" s="178"/>
      <c r="Q16" s="276"/>
      <c r="R16" s="145">
        <v>55.1</v>
      </c>
      <c r="S16" s="64">
        <f t="shared" si="0"/>
        <v>13.629612918993098</v>
      </c>
      <c r="T16" s="143">
        <v>3</v>
      </c>
      <c r="V16" s="143">
        <f t="shared" si="4"/>
        <v>5</v>
      </c>
      <c r="W16" s="143">
        <f t="shared" si="1"/>
        <v>0</v>
      </c>
      <c r="X16" s="143">
        <f>IF(OR(K16&gt;Cuts!$B$16, L16&gt;Cuts!B$16), 1,0)</f>
        <v>0</v>
      </c>
      <c r="Y16" s="246">
        <f>IF(OR(C16&gt;Cuts!$C$16, D16&gt;Cuts!$C$16),1,0)</f>
        <v>0</v>
      </c>
      <c r="Z16" s="143">
        <f t="shared" si="2"/>
        <v>0</v>
      </c>
    </row>
    <row r="17" spans="1:26">
      <c r="A17" s="66">
        <f t="shared" si="3"/>
        <v>6</v>
      </c>
      <c r="B17" s="159" t="s">
        <v>74</v>
      </c>
      <c r="C17" s="257">
        <v>204</v>
      </c>
      <c r="D17" s="54">
        <v>204</v>
      </c>
      <c r="E17" s="60">
        <v>0.76</v>
      </c>
      <c r="F17" s="61">
        <v>0.77</v>
      </c>
      <c r="G17" s="61">
        <v>0.76</v>
      </c>
      <c r="H17" s="61">
        <v>0.77</v>
      </c>
      <c r="I17" s="61">
        <v>0.76</v>
      </c>
      <c r="J17" s="159">
        <v>0.77</v>
      </c>
      <c r="K17" s="72">
        <v>26.07</v>
      </c>
      <c r="L17" s="144">
        <v>26.04</v>
      </c>
      <c r="M17" s="275"/>
      <c r="N17" s="177"/>
      <c r="O17" s="177"/>
      <c r="P17" s="178"/>
      <c r="Q17" s="276"/>
      <c r="R17" s="145">
        <v>55</v>
      </c>
      <c r="S17" s="64">
        <f t="shared" si="0"/>
        <v>13.526330958380143</v>
      </c>
      <c r="T17" s="143">
        <v>3</v>
      </c>
      <c r="V17" s="143">
        <f t="shared" si="4"/>
        <v>6</v>
      </c>
      <c r="W17" s="143">
        <f t="shared" si="1"/>
        <v>0</v>
      </c>
      <c r="X17" s="143">
        <f>IF(OR(K17&gt;Cuts!$B$16, L17&gt;Cuts!B$16), 1,0)</f>
        <v>0</v>
      </c>
      <c r="Y17" s="246">
        <f>IF(OR(C17&gt;Cuts!$C$16, D17&gt;Cuts!$C$16),1,0)</f>
        <v>0</v>
      </c>
      <c r="Z17" s="143">
        <f t="shared" si="2"/>
        <v>0</v>
      </c>
    </row>
    <row r="18" spans="1:26">
      <c r="A18" s="66">
        <f t="shared" si="3"/>
        <v>7</v>
      </c>
      <c r="B18" s="159"/>
      <c r="C18" s="257">
        <v>204</v>
      </c>
      <c r="D18" s="54">
        <v>204</v>
      </c>
      <c r="E18" s="60">
        <v>0.78</v>
      </c>
      <c r="F18" s="61">
        <v>0.77</v>
      </c>
      <c r="G18" s="61">
        <v>0.79</v>
      </c>
      <c r="H18" s="61">
        <v>0.77</v>
      </c>
      <c r="I18" s="61">
        <v>0.78</v>
      </c>
      <c r="J18" s="159">
        <v>0.77</v>
      </c>
      <c r="K18" s="72">
        <v>25.98</v>
      </c>
      <c r="L18" s="144">
        <v>25.8</v>
      </c>
      <c r="M18" s="275"/>
      <c r="N18" s="177"/>
      <c r="O18" s="177"/>
      <c r="P18" s="178"/>
      <c r="Q18" s="276"/>
      <c r="R18" s="145">
        <v>55.7</v>
      </c>
      <c r="S18" s="64">
        <f t="shared" si="0"/>
        <v>13.578703677971069</v>
      </c>
      <c r="T18" s="143">
        <v>3</v>
      </c>
      <c r="V18" s="143">
        <f t="shared" si="4"/>
        <v>7</v>
      </c>
      <c r="W18" s="143">
        <f t="shared" si="1"/>
        <v>0</v>
      </c>
      <c r="X18" s="143">
        <f>IF(OR(K18&gt;Cuts!$B$16, L18&gt;Cuts!B$16), 1,0)</f>
        <v>0</v>
      </c>
      <c r="Y18" s="246">
        <f>IF(OR(C18&gt;Cuts!$C$16, D18&gt;Cuts!$C$16),1,0)</f>
        <v>0</v>
      </c>
      <c r="Z18" s="143">
        <f t="shared" si="2"/>
        <v>0</v>
      </c>
    </row>
    <row r="19" spans="1:26">
      <c r="A19" s="66">
        <f t="shared" si="3"/>
        <v>8</v>
      </c>
      <c r="B19" s="140"/>
      <c r="C19" s="257">
        <v>204</v>
      </c>
      <c r="D19" s="54">
        <v>204</v>
      </c>
      <c r="E19" s="60">
        <v>0.74</v>
      </c>
      <c r="F19" s="61">
        <v>0.76</v>
      </c>
      <c r="G19" s="61">
        <v>0.74</v>
      </c>
      <c r="H19" s="61">
        <v>0.76</v>
      </c>
      <c r="I19" s="61">
        <v>0.75</v>
      </c>
      <c r="J19" s="270">
        <v>0.77</v>
      </c>
      <c r="K19" s="72">
        <v>26.01</v>
      </c>
      <c r="L19" s="144">
        <v>26.04</v>
      </c>
      <c r="M19" s="275"/>
      <c r="N19" s="177"/>
      <c r="O19" s="177"/>
      <c r="P19" s="178"/>
      <c r="Q19" s="276"/>
      <c r="R19" s="145">
        <v>54.4</v>
      </c>
      <c r="S19" s="64">
        <f t="shared" si="0"/>
        <v>13.601625394234611</v>
      </c>
      <c r="T19" s="143">
        <v>3</v>
      </c>
      <c r="V19" s="143">
        <f t="shared" si="4"/>
        <v>8</v>
      </c>
      <c r="W19" s="143">
        <f t="shared" si="1"/>
        <v>0</v>
      </c>
      <c r="X19" s="143">
        <f>IF(OR(K19&gt;Cuts!$B$16, L19&gt;Cuts!B$16), 1,0)</f>
        <v>0</v>
      </c>
      <c r="Y19" s="246">
        <f>IF(OR(C19&gt;Cuts!$C$16, D19&gt;Cuts!$C$16),1,0)</f>
        <v>0</v>
      </c>
      <c r="Z19" s="143">
        <f t="shared" si="2"/>
        <v>0</v>
      </c>
    </row>
    <row r="20" spans="1:26">
      <c r="A20" s="66">
        <f t="shared" si="3"/>
        <v>9</v>
      </c>
      <c r="B20" s="140"/>
      <c r="C20" s="257">
        <v>204</v>
      </c>
      <c r="D20" s="54">
        <v>204</v>
      </c>
      <c r="E20" s="271">
        <v>0.75</v>
      </c>
      <c r="F20" s="61">
        <v>0.76</v>
      </c>
      <c r="G20" s="61">
        <v>0.75</v>
      </c>
      <c r="H20" s="61">
        <v>0.78</v>
      </c>
      <c r="I20" s="61">
        <v>0.76</v>
      </c>
      <c r="J20" s="270">
        <v>0.77</v>
      </c>
      <c r="K20" s="72">
        <v>25.95</v>
      </c>
      <c r="L20" s="144">
        <v>25.6</v>
      </c>
      <c r="M20" s="277"/>
      <c r="N20" s="180"/>
      <c r="O20" s="180"/>
      <c r="P20" s="178"/>
      <c r="Q20" s="276"/>
      <c r="R20" s="145">
        <v>54.4</v>
      </c>
      <c r="S20" s="64">
        <f t="shared" si="0"/>
        <v>13.583294245989215</v>
      </c>
      <c r="T20" s="143">
        <v>3</v>
      </c>
      <c r="V20" s="143">
        <f t="shared" si="4"/>
        <v>9</v>
      </c>
      <c r="W20" s="143">
        <f t="shared" si="1"/>
        <v>0</v>
      </c>
      <c r="X20" s="143">
        <f>IF(OR(K20&gt;Cuts!$B$16, L20&gt;Cuts!B$16), 1,0)</f>
        <v>0</v>
      </c>
      <c r="Y20" s="246">
        <f>IF(OR(C20&gt;Cuts!$C$16, D20&gt;Cuts!$C$16),1,0)</f>
        <v>0</v>
      </c>
      <c r="Z20" s="143">
        <f t="shared" si="2"/>
        <v>0</v>
      </c>
    </row>
    <row r="21" spans="1:26">
      <c r="A21" s="66">
        <f t="shared" si="3"/>
        <v>10</v>
      </c>
      <c r="B21" s="140"/>
      <c r="C21" s="257">
        <v>204</v>
      </c>
      <c r="D21" s="54">
        <v>204</v>
      </c>
      <c r="E21" s="271">
        <v>0.77</v>
      </c>
      <c r="F21" s="61">
        <v>0.75</v>
      </c>
      <c r="G21" s="61">
        <v>0.77</v>
      </c>
      <c r="H21" s="61">
        <v>0.76</v>
      </c>
      <c r="I21" s="61">
        <v>0.77</v>
      </c>
      <c r="J21" s="270">
        <v>0.76</v>
      </c>
      <c r="K21" s="72">
        <v>25.78</v>
      </c>
      <c r="L21" s="144">
        <v>25.94</v>
      </c>
      <c r="M21" s="277"/>
      <c r="N21" s="180"/>
      <c r="O21" s="180"/>
      <c r="P21" s="178"/>
      <c r="Q21" s="276"/>
      <c r="R21" s="145">
        <v>54.9</v>
      </c>
      <c r="S21" s="64">
        <f t="shared" si="0"/>
        <v>13.633250947771685</v>
      </c>
      <c r="T21" s="143">
        <v>3</v>
      </c>
      <c r="V21" s="143">
        <f t="shared" si="4"/>
        <v>10</v>
      </c>
      <c r="W21" s="143">
        <f t="shared" si="1"/>
        <v>0</v>
      </c>
      <c r="X21" s="143">
        <f>IF(OR(K21&gt;Cuts!$B$16, L21&gt;Cuts!B$16), 1,0)</f>
        <v>0</v>
      </c>
      <c r="Y21" s="246">
        <f>IF(OR(C21&gt;Cuts!$C$16, D21&gt;Cuts!$C$16),1,0)</f>
        <v>0</v>
      </c>
      <c r="Z21" s="143">
        <f t="shared" si="2"/>
        <v>0</v>
      </c>
    </row>
    <row r="22" spans="1:26">
      <c r="A22" s="66">
        <f t="shared" si="3"/>
        <v>11</v>
      </c>
      <c r="B22" s="140"/>
      <c r="C22" s="257">
        <v>204</v>
      </c>
      <c r="D22" s="54">
        <v>204</v>
      </c>
      <c r="E22" s="271">
        <v>0.75</v>
      </c>
      <c r="F22" s="61">
        <v>0.74</v>
      </c>
      <c r="G22" s="61">
        <v>0.75</v>
      </c>
      <c r="H22" s="61">
        <v>0.75</v>
      </c>
      <c r="I22" s="61">
        <v>0.76</v>
      </c>
      <c r="J22" s="270">
        <v>0.75</v>
      </c>
      <c r="K22" s="72">
        <v>25.9</v>
      </c>
      <c r="L22" s="144">
        <v>26.01</v>
      </c>
      <c r="M22" s="277"/>
      <c r="N22" s="180"/>
      <c r="O22" s="180"/>
      <c r="P22" s="178"/>
      <c r="Q22" s="276"/>
      <c r="R22" s="145">
        <v>54.9</v>
      </c>
      <c r="S22" s="64">
        <f t="shared" si="0"/>
        <v>13.824832572212086</v>
      </c>
      <c r="T22" s="143">
        <v>3</v>
      </c>
      <c r="V22" s="143">
        <f t="shared" si="4"/>
        <v>11</v>
      </c>
      <c r="W22" s="143">
        <f t="shared" si="1"/>
        <v>0</v>
      </c>
      <c r="X22" s="143">
        <f>IF(OR(K22&gt;Cuts!$B$16, L22&gt;Cuts!B$16), 1,0)</f>
        <v>0</v>
      </c>
      <c r="Y22" s="246">
        <f>IF(OR(C22&gt;Cuts!$C$16, D22&gt;Cuts!$C$16),1,0)</f>
        <v>0</v>
      </c>
      <c r="Z22" s="143">
        <f t="shared" si="2"/>
        <v>0</v>
      </c>
    </row>
    <row r="23" spans="1:26">
      <c r="A23" s="66">
        <f t="shared" si="3"/>
        <v>12</v>
      </c>
      <c r="B23" s="140"/>
      <c r="C23" s="257">
        <v>204</v>
      </c>
      <c r="D23" s="54">
        <v>204</v>
      </c>
      <c r="E23" s="271">
        <v>0.75</v>
      </c>
      <c r="F23" s="61">
        <v>0.73</v>
      </c>
      <c r="G23" s="61">
        <v>0.76</v>
      </c>
      <c r="H23" s="61">
        <v>0.73</v>
      </c>
      <c r="I23" s="61">
        <v>0.76</v>
      </c>
      <c r="J23" s="270">
        <v>0.74</v>
      </c>
      <c r="K23" s="72">
        <v>26.06</v>
      </c>
      <c r="L23" s="144">
        <v>25.83</v>
      </c>
      <c r="M23" s="277" t="s">
        <v>89</v>
      </c>
      <c r="N23" s="180"/>
      <c r="O23" s="180"/>
      <c r="P23" s="178"/>
      <c r="Q23" s="276"/>
      <c r="R23" s="145">
        <v>53.5</v>
      </c>
      <c r="S23" s="64">
        <f t="shared" si="0"/>
        <v>13.567932265635969</v>
      </c>
      <c r="T23" s="143">
        <v>3</v>
      </c>
      <c r="V23" s="143">
        <f t="shared" si="4"/>
        <v>12</v>
      </c>
      <c r="W23" s="143">
        <f t="shared" si="1"/>
        <v>0</v>
      </c>
      <c r="X23" s="143">
        <f>IF(OR(K23&gt;Cuts!$B$16, L23&gt;Cuts!B$16), 1,0)</f>
        <v>0</v>
      </c>
      <c r="Y23" s="246">
        <f>IF(OR(C23&gt;Cuts!$C$16, D23&gt;Cuts!$C$16),1,0)</f>
        <v>0</v>
      </c>
      <c r="Z23" s="143">
        <f t="shared" si="2"/>
        <v>0</v>
      </c>
    </row>
    <row r="24" spans="1:26">
      <c r="A24" s="66">
        <f t="shared" si="3"/>
        <v>13</v>
      </c>
      <c r="B24" s="140"/>
      <c r="C24" s="257">
        <v>204</v>
      </c>
      <c r="D24" s="54">
        <v>204</v>
      </c>
      <c r="E24" s="271">
        <v>0.77</v>
      </c>
      <c r="F24" s="61">
        <v>0.77</v>
      </c>
      <c r="G24" s="61">
        <v>0.78</v>
      </c>
      <c r="H24" s="61">
        <v>0.76</v>
      </c>
      <c r="I24" s="61">
        <v>0.77</v>
      </c>
      <c r="J24" s="270">
        <v>0.75</v>
      </c>
      <c r="K24" s="72">
        <v>26.11</v>
      </c>
      <c r="L24" s="144">
        <v>25.97</v>
      </c>
      <c r="M24" s="277"/>
      <c r="N24" s="180"/>
      <c r="O24" s="180"/>
      <c r="P24" s="178"/>
      <c r="Q24" s="276"/>
      <c r="R24" s="145">
        <v>55.6</v>
      </c>
      <c r="S24" s="64">
        <f t="shared" si="0"/>
        <v>13.652024624716649</v>
      </c>
      <c r="T24" s="143">
        <v>3</v>
      </c>
      <c r="V24" s="143">
        <f t="shared" si="4"/>
        <v>13</v>
      </c>
      <c r="W24" s="143">
        <f t="shared" si="1"/>
        <v>0</v>
      </c>
      <c r="X24" s="143">
        <f>IF(OR(K24&gt;Cuts!$B$16, L24&gt;Cuts!B$16), 1,0)</f>
        <v>0</v>
      </c>
      <c r="Y24" s="246">
        <f>IF(OR(C24&gt;Cuts!$C$16, D24&gt;Cuts!$C$16),1,0)</f>
        <v>0</v>
      </c>
      <c r="Z24" s="143">
        <f t="shared" si="2"/>
        <v>0</v>
      </c>
    </row>
    <row r="25" spans="1:26">
      <c r="A25" s="66">
        <f t="shared" si="3"/>
        <v>14</v>
      </c>
      <c r="B25" s="140"/>
      <c r="C25" s="257">
        <v>204</v>
      </c>
      <c r="D25" s="54">
        <v>204</v>
      </c>
      <c r="E25" s="271">
        <v>0.77</v>
      </c>
      <c r="F25" s="61">
        <v>0.76</v>
      </c>
      <c r="G25" s="61">
        <v>0.77</v>
      </c>
      <c r="H25" s="61">
        <v>0.76</v>
      </c>
      <c r="I25" s="61">
        <v>0.77</v>
      </c>
      <c r="J25" s="270">
        <v>0.76</v>
      </c>
      <c r="K25" s="72">
        <v>25.49</v>
      </c>
      <c r="L25" s="144">
        <v>25.94</v>
      </c>
      <c r="M25" s="277"/>
      <c r="N25" s="180"/>
      <c r="O25" s="180"/>
      <c r="P25" s="178"/>
      <c r="Q25" s="276"/>
      <c r="R25" s="145">
        <v>54.5</v>
      </c>
      <c r="S25" s="64">
        <f t="shared" si="0"/>
        <v>13.580581652076015</v>
      </c>
      <c r="T25" s="143">
        <v>3</v>
      </c>
      <c r="V25" s="143">
        <f t="shared" si="4"/>
        <v>14</v>
      </c>
      <c r="W25" s="143">
        <f t="shared" si="1"/>
        <v>0</v>
      </c>
      <c r="X25" s="143">
        <f>IF(OR(K25&gt;Cuts!$B$16, L25&gt;Cuts!B$16), 1,0)</f>
        <v>0</v>
      </c>
      <c r="Y25" s="246">
        <f>IF(OR(C25&gt;Cuts!$C$16, D25&gt;Cuts!$C$16),1,0)</f>
        <v>0</v>
      </c>
      <c r="Z25" s="143">
        <f t="shared" si="2"/>
        <v>0</v>
      </c>
    </row>
    <row r="26" spans="1:26">
      <c r="A26" s="66">
        <f t="shared" si="3"/>
        <v>15</v>
      </c>
      <c r="B26" s="140"/>
      <c r="C26" s="257">
        <v>204</v>
      </c>
      <c r="D26" s="54">
        <v>204</v>
      </c>
      <c r="E26" s="271">
        <v>0.77</v>
      </c>
      <c r="F26" s="61">
        <v>0.78</v>
      </c>
      <c r="G26" s="61">
        <v>0.76</v>
      </c>
      <c r="H26" s="61">
        <v>0.77</v>
      </c>
      <c r="I26" s="61">
        <v>0.77</v>
      </c>
      <c r="J26" s="270">
        <v>0.78</v>
      </c>
      <c r="K26" s="72">
        <v>26.03</v>
      </c>
      <c r="L26" s="144">
        <v>26.02</v>
      </c>
      <c r="M26" s="277"/>
      <c r="N26" s="180"/>
      <c r="O26" s="180"/>
      <c r="P26" s="178"/>
      <c r="Q26" s="276"/>
      <c r="R26" s="145">
        <v>55.4</v>
      </c>
      <c r="S26" s="64">
        <f t="shared" si="0"/>
        <v>13.522566270643425</v>
      </c>
      <c r="T26" s="143">
        <v>3</v>
      </c>
      <c r="V26" s="143">
        <f t="shared" si="4"/>
        <v>15</v>
      </c>
      <c r="W26" s="143">
        <f t="shared" si="1"/>
        <v>0</v>
      </c>
      <c r="X26" s="143">
        <f>IF(OR(K26&gt;Cuts!$B$16, L26&gt;Cuts!B$16), 1,0)</f>
        <v>0</v>
      </c>
      <c r="Y26" s="246">
        <f>IF(OR(C26&gt;Cuts!$C$16, D26&gt;Cuts!$C$16),1,0)</f>
        <v>0</v>
      </c>
      <c r="Z26" s="143">
        <f t="shared" si="2"/>
        <v>0</v>
      </c>
    </row>
    <row r="27" spans="1:26">
      <c r="A27" s="66">
        <f t="shared" si="3"/>
        <v>16</v>
      </c>
      <c r="B27" s="140"/>
      <c r="C27" s="257">
        <v>204</v>
      </c>
      <c r="D27" s="54">
        <v>204</v>
      </c>
      <c r="E27" s="271">
        <v>0.77</v>
      </c>
      <c r="F27" s="61">
        <v>0.76</v>
      </c>
      <c r="G27" s="61">
        <v>0.76</v>
      </c>
      <c r="H27" s="61">
        <v>0.76</v>
      </c>
      <c r="I27" s="61">
        <v>0.77</v>
      </c>
      <c r="J27" s="270">
        <v>0.76</v>
      </c>
      <c r="K27" s="72">
        <v>26.04</v>
      </c>
      <c r="L27" s="144">
        <v>25.92</v>
      </c>
      <c r="M27" s="277"/>
      <c r="N27" s="180"/>
      <c r="O27" s="180"/>
      <c r="P27" s="178"/>
      <c r="Q27" s="276"/>
      <c r="R27" s="145">
        <v>54.9</v>
      </c>
      <c r="S27" s="64">
        <f t="shared" si="0"/>
        <v>13.570279811754265</v>
      </c>
      <c r="T27" s="143">
        <v>3</v>
      </c>
      <c r="V27" s="143">
        <f t="shared" si="4"/>
        <v>16</v>
      </c>
      <c r="W27" s="143">
        <f t="shared" si="1"/>
        <v>0</v>
      </c>
      <c r="X27" s="143">
        <f>IF(OR(K27&gt;Cuts!$B$16, L27&gt;Cuts!B$16), 1,0)</f>
        <v>0</v>
      </c>
      <c r="Y27" s="246">
        <f>IF(OR(C27&gt;Cuts!$C$16, D27&gt;Cuts!$C$16),1,0)</f>
        <v>0</v>
      </c>
      <c r="Z27" s="143">
        <f t="shared" si="2"/>
        <v>0</v>
      </c>
    </row>
    <row r="28" spans="1:26">
      <c r="A28" s="66">
        <f t="shared" si="3"/>
        <v>17</v>
      </c>
      <c r="B28" s="140"/>
      <c r="C28" s="257">
        <v>204</v>
      </c>
      <c r="D28" s="54">
        <v>204</v>
      </c>
      <c r="E28" s="271">
        <v>0.78</v>
      </c>
      <c r="F28" s="61">
        <v>0.77</v>
      </c>
      <c r="G28" s="61">
        <v>0.78</v>
      </c>
      <c r="H28" s="61">
        <v>0.77</v>
      </c>
      <c r="I28" s="61">
        <v>0.78</v>
      </c>
      <c r="J28" s="270">
        <v>0.77</v>
      </c>
      <c r="K28" s="72">
        <v>25.81</v>
      </c>
      <c r="L28" s="144">
        <v>25.95</v>
      </c>
      <c r="M28" s="277"/>
      <c r="N28" s="180"/>
      <c r="O28" s="180"/>
      <c r="P28" s="178"/>
      <c r="Q28" s="276"/>
      <c r="R28" s="145">
        <v>55.9</v>
      </c>
      <c r="S28" s="64">
        <f t="shared" si="0"/>
        <v>13.662043567988096</v>
      </c>
      <c r="T28" s="143">
        <v>3</v>
      </c>
      <c r="V28" s="143">
        <f t="shared" si="4"/>
        <v>17</v>
      </c>
      <c r="W28" s="143">
        <f t="shared" si="1"/>
        <v>0</v>
      </c>
      <c r="X28" s="143">
        <f>IF(OR(K28&gt;Cuts!$B$16, L28&gt;Cuts!B$16), 1,0)</f>
        <v>0</v>
      </c>
      <c r="Y28" s="246">
        <f>IF(OR(C28&gt;Cuts!$C$16, D28&gt;Cuts!$C$16),1,0)</f>
        <v>0</v>
      </c>
      <c r="Z28" s="143">
        <f t="shared" si="2"/>
        <v>0</v>
      </c>
    </row>
    <row r="29" spans="1:26">
      <c r="A29" s="66">
        <f t="shared" si="3"/>
        <v>18</v>
      </c>
      <c r="B29" s="140"/>
      <c r="C29" s="257">
        <v>204</v>
      </c>
      <c r="D29" s="54">
        <v>204</v>
      </c>
      <c r="E29" s="271">
        <v>0.79</v>
      </c>
      <c r="F29" s="61">
        <v>0.78</v>
      </c>
      <c r="G29" s="61">
        <v>0.78</v>
      </c>
      <c r="H29" s="61">
        <v>0.78</v>
      </c>
      <c r="I29" s="61">
        <v>0.78</v>
      </c>
      <c r="J29" s="270">
        <v>0.78</v>
      </c>
      <c r="K29" s="72">
        <v>26.12</v>
      </c>
      <c r="L29" s="144">
        <v>26.13</v>
      </c>
      <c r="M29" s="277"/>
      <c r="N29" s="180"/>
      <c r="O29" s="180"/>
      <c r="P29" s="178"/>
      <c r="Q29" s="276"/>
      <c r="R29" s="145">
        <v>56.5</v>
      </c>
      <c r="S29" s="64">
        <f t="shared" si="0"/>
        <v>13.562519916200429</v>
      </c>
      <c r="T29" s="143">
        <v>3</v>
      </c>
      <c r="V29" s="143">
        <f t="shared" si="4"/>
        <v>18</v>
      </c>
      <c r="W29" s="143">
        <f t="shared" si="1"/>
        <v>0</v>
      </c>
      <c r="X29" s="143">
        <f>IF(OR(K29&gt;Cuts!$B$16, L29&gt;Cuts!B$16), 1,0)</f>
        <v>0</v>
      </c>
      <c r="Y29" s="246">
        <f>IF(OR(C29&gt;Cuts!$C$16, D29&gt;Cuts!$C$16),1,0)</f>
        <v>0</v>
      </c>
      <c r="Z29" s="143">
        <f t="shared" si="2"/>
        <v>0</v>
      </c>
    </row>
    <row r="30" spans="1:26">
      <c r="A30" s="66">
        <f t="shared" si="3"/>
        <v>19</v>
      </c>
      <c r="B30" s="140"/>
      <c r="C30" s="257">
        <v>204</v>
      </c>
      <c r="D30" s="54">
        <v>204</v>
      </c>
      <c r="E30" s="271">
        <v>0.76</v>
      </c>
      <c r="F30" s="61">
        <v>0.74</v>
      </c>
      <c r="G30" s="61">
        <v>0.76</v>
      </c>
      <c r="H30" s="61">
        <v>0.74</v>
      </c>
      <c r="I30" s="61">
        <v>0.76</v>
      </c>
      <c r="J30" s="270">
        <v>0.75</v>
      </c>
      <c r="K30" s="72">
        <v>25.93</v>
      </c>
      <c r="L30" s="144">
        <v>25.79</v>
      </c>
      <c r="M30" s="277"/>
      <c r="N30" s="180"/>
      <c r="O30" s="180"/>
      <c r="P30" s="178"/>
      <c r="Q30" s="276"/>
      <c r="R30" s="145">
        <v>54.1</v>
      </c>
      <c r="S30" s="64">
        <f t="shared" si="0"/>
        <v>13.643107013101723</v>
      </c>
      <c r="T30" s="143">
        <v>3</v>
      </c>
      <c r="V30" s="143">
        <f t="shared" si="4"/>
        <v>19</v>
      </c>
      <c r="W30" s="143">
        <f t="shared" si="1"/>
        <v>0</v>
      </c>
      <c r="X30" s="143">
        <f>IF(OR(K30&gt;Cuts!$B$16, L30&gt;Cuts!B$16), 1,0)</f>
        <v>0</v>
      </c>
      <c r="Y30" s="246">
        <f>IF(OR(C30&gt;Cuts!$C$16, D30&gt;Cuts!$C$16),1,0)</f>
        <v>0</v>
      </c>
      <c r="Z30" s="143">
        <f t="shared" si="2"/>
        <v>0</v>
      </c>
    </row>
    <row r="31" spans="1:26">
      <c r="A31" s="66">
        <f t="shared" si="3"/>
        <v>20</v>
      </c>
      <c r="B31" s="140" t="s">
        <v>75</v>
      </c>
      <c r="C31" s="257">
        <v>204</v>
      </c>
      <c r="D31" s="54">
        <v>204</v>
      </c>
      <c r="E31" s="271">
        <v>0.78</v>
      </c>
      <c r="F31" s="61">
        <v>0.78</v>
      </c>
      <c r="G31" s="61">
        <v>0.78</v>
      </c>
      <c r="H31" s="61">
        <v>0.78</v>
      </c>
      <c r="I31" s="61">
        <v>0.77</v>
      </c>
      <c r="J31" s="270">
        <v>0.78</v>
      </c>
      <c r="K31" s="72">
        <v>26.02</v>
      </c>
      <c r="L31" s="144">
        <v>26.09</v>
      </c>
      <c r="M31" s="277"/>
      <c r="N31" s="180"/>
      <c r="O31" s="180"/>
      <c r="P31" s="178"/>
      <c r="Q31" s="276"/>
      <c r="R31" s="145">
        <v>56.2</v>
      </c>
      <c r="S31" s="64">
        <f t="shared" si="0"/>
        <v>13.584680869619721</v>
      </c>
      <c r="T31" s="143">
        <v>3</v>
      </c>
      <c r="V31" s="143">
        <f t="shared" si="4"/>
        <v>20</v>
      </c>
      <c r="W31" s="143">
        <f t="shared" si="1"/>
        <v>0</v>
      </c>
      <c r="X31" s="143">
        <f>IF(OR(K31&gt;Cuts!$B$16, L31&gt;Cuts!B$16), 1,0)</f>
        <v>0</v>
      </c>
      <c r="Y31" s="246">
        <f>IF(OR(C31&gt;Cuts!$C$16, D31&gt;Cuts!$C$16),1,0)</f>
        <v>0</v>
      </c>
      <c r="Z31" s="143">
        <f t="shared" si="2"/>
        <v>0</v>
      </c>
    </row>
    <row r="32" spans="1:26">
      <c r="A32" s="66">
        <f t="shared" si="3"/>
        <v>21</v>
      </c>
      <c r="B32" s="140"/>
      <c r="C32" s="257">
        <v>204</v>
      </c>
      <c r="D32" s="54">
        <v>204</v>
      </c>
      <c r="E32" s="271">
        <v>0.75</v>
      </c>
      <c r="F32" s="61">
        <v>0.74</v>
      </c>
      <c r="G32" s="61">
        <v>0.77</v>
      </c>
      <c r="H32" s="61">
        <v>0.76</v>
      </c>
      <c r="I32" s="61">
        <v>0.77</v>
      </c>
      <c r="J32" s="270">
        <v>0.76</v>
      </c>
      <c r="K32" s="72">
        <v>25.95</v>
      </c>
      <c r="L32" s="144">
        <v>25.55</v>
      </c>
      <c r="M32" s="277"/>
      <c r="N32" s="180"/>
      <c r="O32" s="180"/>
      <c r="P32" s="178"/>
      <c r="Q32" s="276"/>
      <c r="R32" s="145">
        <v>54.5</v>
      </c>
      <c r="S32" s="64">
        <f t="shared" si="0"/>
        <v>13.68135006056194</v>
      </c>
      <c r="T32" s="143">
        <v>3</v>
      </c>
      <c r="V32" s="143">
        <f t="shared" si="4"/>
        <v>21</v>
      </c>
      <c r="W32" s="143">
        <f t="shared" si="1"/>
        <v>0</v>
      </c>
      <c r="X32" s="143">
        <f>IF(OR(K32&gt;Cuts!$B$16, L32&gt;Cuts!B$16), 1,0)</f>
        <v>0</v>
      </c>
      <c r="Y32" s="246">
        <f>IF(OR(C32&gt;Cuts!$C$16, D32&gt;Cuts!$C$16),1,0)</f>
        <v>0</v>
      </c>
      <c r="Z32" s="143">
        <f t="shared" si="2"/>
        <v>0</v>
      </c>
    </row>
    <row r="33" spans="1:26">
      <c r="A33" s="66">
        <f t="shared" si="3"/>
        <v>22</v>
      </c>
      <c r="B33" s="140"/>
      <c r="C33" s="257">
        <v>204</v>
      </c>
      <c r="D33" s="54">
        <v>204</v>
      </c>
      <c r="E33" s="271">
        <v>0.77</v>
      </c>
      <c r="F33" s="61">
        <v>0.78</v>
      </c>
      <c r="G33" s="61">
        <v>0.78</v>
      </c>
      <c r="H33" s="61">
        <v>0.78</v>
      </c>
      <c r="I33" s="61">
        <v>0.79</v>
      </c>
      <c r="J33" s="270">
        <v>0.78</v>
      </c>
      <c r="K33" s="72">
        <v>25.97</v>
      </c>
      <c r="L33" s="144">
        <v>25.9</v>
      </c>
      <c r="M33" s="277"/>
      <c r="N33" s="180"/>
      <c r="O33" s="180"/>
      <c r="P33" s="178"/>
      <c r="Q33" s="276"/>
      <c r="R33" s="145">
        <v>55.9</v>
      </c>
      <c r="S33" s="64">
        <f t="shared" si="0"/>
        <v>13.545679180354101</v>
      </c>
      <c r="T33" s="143">
        <v>3</v>
      </c>
      <c r="V33" s="143">
        <f t="shared" si="4"/>
        <v>22</v>
      </c>
      <c r="W33" s="143">
        <f t="shared" si="1"/>
        <v>0</v>
      </c>
      <c r="X33" s="143">
        <f>IF(OR(K33&gt;Cuts!$B$16, L33&gt;Cuts!B$16), 1,0)</f>
        <v>0</v>
      </c>
      <c r="Y33" s="246">
        <f>IF(OR(C33&gt;Cuts!$C$16, D33&gt;Cuts!$C$16),1,0)</f>
        <v>0</v>
      </c>
      <c r="Z33" s="143">
        <f t="shared" si="2"/>
        <v>0</v>
      </c>
    </row>
    <row r="34" spans="1:26">
      <c r="A34" s="66">
        <f t="shared" si="3"/>
        <v>23</v>
      </c>
      <c r="B34" s="140"/>
      <c r="C34" s="257">
        <v>204</v>
      </c>
      <c r="D34" s="54">
        <v>204</v>
      </c>
      <c r="E34" s="271">
        <v>0.78</v>
      </c>
      <c r="F34" s="61">
        <v>0.78</v>
      </c>
      <c r="G34" s="61">
        <v>0.78</v>
      </c>
      <c r="H34" s="61">
        <v>0.78</v>
      </c>
      <c r="I34" s="61">
        <v>0.78</v>
      </c>
      <c r="J34" s="270">
        <v>0.78</v>
      </c>
      <c r="K34" s="72">
        <v>26.02</v>
      </c>
      <c r="L34" s="144">
        <v>25.98</v>
      </c>
      <c r="M34" s="277"/>
      <c r="N34" s="180"/>
      <c r="O34" s="180"/>
      <c r="P34" s="178"/>
      <c r="Q34" s="276"/>
      <c r="R34" s="145">
        <v>55.8</v>
      </c>
      <c r="S34" s="64">
        <f t="shared" si="0"/>
        <v>13.487643578141311</v>
      </c>
      <c r="T34" s="143">
        <v>3</v>
      </c>
      <c r="V34" s="143">
        <f t="shared" si="4"/>
        <v>23</v>
      </c>
      <c r="W34" s="143">
        <f t="shared" si="1"/>
        <v>0</v>
      </c>
      <c r="X34" s="143">
        <f>IF(OR(K34&gt;Cuts!$B$16, L34&gt;Cuts!B$16), 1,0)</f>
        <v>0</v>
      </c>
      <c r="Y34" s="246">
        <f>IF(OR(C34&gt;Cuts!$C$16, D34&gt;Cuts!$C$16),1,0)</f>
        <v>0</v>
      </c>
      <c r="Z34" s="143">
        <f t="shared" si="2"/>
        <v>0</v>
      </c>
    </row>
    <row r="35" spans="1:26">
      <c r="A35" s="66">
        <f t="shared" si="3"/>
        <v>24</v>
      </c>
      <c r="B35" s="140"/>
      <c r="C35" s="257">
        <v>204</v>
      </c>
      <c r="D35" s="54">
        <v>204</v>
      </c>
      <c r="E35" s="271">
        <v>0.77</v>
      </c>
      <c r="F35" s="61">
        <v>0.77</v>
      </c>
      <c r="G35" s="61">
        <v>0.78</v>
      </c>
      <c r="H35" s="61">
        <v>0.78</v>
      </c>
      <c r="I35" s="61">
        <v>0.76</v>
      </c>
      <c r="J35" s="270">
        <v>0.77</v>
      </c>
      <c r="K35" s="72">
        <v>26.02</v>
      </c>
      <c r="L35" s="144">
        <v>26</v>
      </c>
      <c r="M35" s="277"/>
      <c r="N35" s="180"/>
      <c r="O35" s="180"/>
      <c r="P35" s="178"/>
      <c r="Q35" s="276"/>
      <c r="R35" s="145">
        <v>55.7</v>
      </c>
      <c r="S35" s="64">
        <f t="shared" si="0"/>
        <v>13.60363387497288</v>
      </c>
      <c r="T35" s="143">
        <v>3</v>
      </c>
      <c r="V35" s="143">
        <f t="shared" si="4"/>
        <v>24</v>
      </c>
      <c r="W35" s="143">
        <f t="shared" si="1"/>
        <v>0</v>
      </c>
      <c r="X35" s="143">
        <f>IF(OR(K35&gt;Cuts!$B$16, L35&gt;Cuts!B$16), 1,0)</f>
        <v>0</v>
      </c>
      <c r="Y35" s="246">
        <f>IF(OR(C35&gt;Cuts!$C$16, D35&gt;Cuts!$C$16),1,0)</f>
        <v>0</v>
      </c>
      <c r="Z35" s="143">
        <f t="shared" si="2"/>
        <v>0</v>
      </c>
    </row>
    <row r="36" spans="1:26">
      <c r="A36" s="66">
        <f t="shared" si="3"/>
        <v>25</v>
      </c>
      <c r="B36" s="140"/>
      <c r="C36" s="257">
        <v>204</v>
      </c>
      <c r="D36" s="54">
        <v>204</v>
      </c>
      <c r="E36" s="271">
        <v>0.77</v>
      </c>
      <c r="F36" s="61">
        <v>0.77</v>
      </c>
      <c r="G36" s="61">
        <v>0.76</v>
      </c>
      <c r="H36" s="61">
        <v>0.76</v>
      </c>
      <c r="I36" s="61">
        <v>0.77</v>
      </c>
      <c r="J36" s="270">
        <v>0.77</v>
      </c>
      <c r="K36" s="72">
        <v>26.04</v>
      </c>
      <c r="L36" s="144">
        <v>26.13</v>
      </c>
      <c r="M36" s="277"/>
      <c r="N36" s="180" t="s">
        <v>89</v>
      </c>
      <c r="O36" s="180"/>
      <c r="P36" s="178"/>
      <c r="Q36" s="276"/>
      <c r="R36" s="145">
        <v>55</v>
      </c>
      <c r="S36" s="64">
        <f t="shared" si="0"/>
        <v>13.481403262107403</v>
      </c>
      <c r="T36" s="143">
        <v>3</v>
      </c>
      <c r="V36" s="143">
        <f t="shared" si="4"/>
        <v>25</v>
      </c>
      <c r="W36" s="143">
        <f t="shared" si="1"/>
        <v>0</v>
      </c>
      <c r="X36" s="143">
        <f>IF(OR(K36&gt;Cuts!$B$16, L36&gt;Cuts!B$16), 1,0)</f>
        <v>0</v>
      </c>
      <c r="Y36" s="246">
        <f>IF(OR(C36&gt;Cuts!$C$16, D36&gt;Cuts!$C$16),1,0)</f>
        <v>0</v>
      </c>
      <c r="Z36" s="143">
        <f t="shared" si="2"/>
        <v>0</v>
      </c>
    </row>
    <row r="37" spans="1:26">
      <c r="A37" s="66">
        <f t="shared" si="3"/>
        <v>26</v>
      </c>
      <c r="B37" s="140"/>
      <c r="C37" s="257">
        <v>204</v>
      </c>
      <c r="D37" s="54">
        <v>204</v>
      </c>
      <c r="E37" s="271">
        <v>0.79</v>
      </c>
      <c r="F37" s="61">
        <v>0.78</v>
      </c>
      <c r="G37" s="61">
        <v>0.79</v>
      </c>
      <c r="H37" s="61">
        <v>0.78</v>
      </c>
      <c r="I37" s="61">
        <v>0.79</v>
      </c>
      <c r="J37" s="270">
        <v>0.78</v>
      </c>
      <c r="K37" s="72">
        <v>26.08</v>
      </c>
      <c r="L37" s="144">
        <v>25.95</v>
      </c>
      <c r="M37" s="277"/>
      <c r="N37" s="180"/>
      <c r="O37" s="180"/>
      <c r="P37" s="178"/>
      <c r="Q37" s="276"/>
      <c r="R37" s="145">
        <v>56.2</v>
      </c>
      <c r="S37" s="64">
        <f t="shared" si="0"/>
        <v>13.490022100352752</v>
      </c>
      <c r="T37" s="143">
        <v>3</v>
      </c>
      <c r="V37" s="143">
        <f t="shared" si="4"/>
        <v>26</v>
      </c>
      <c r="W37" s="143">
        <f t="shared" si="1"/>
        <v>0</v>
      </c>
      <c r="X37" s="143">
        <f>IF(OR(K37&gt;Cuts!$B$16, L37&gt;Cuts!B$16), 1,0)</f>
        <v>0</v>
      </c>
      <c r="Y37" s="246">
        <f>IF(OR(C37&gt;Cuts!$C$16, D37&gt;Cuts!$C$16),1,0)</f>
        <v>0</v>
      </c>
      <c r="Z37" s="143">
        <f t="shared" si="2"/>
        <v>0</v>
      </c>
    </row>
    <row r="38" spans="1:26">
      <c r="A38" s="66">
        <f t="shared" si="3"/>
        <v>27</v>
      </c>
      <c r="B38" s="140"/>
      <c r="C38" s="257">
        <v>204</v>
      </c>
      <c r="D38" s="54">
        <v>204</v>
      </c>
      <c r="E38" s="271">
        <v>0.75</v>
      </c>
      <c r="F38" s="61">
        <v>0.77</v>
      </c>
      <c r="G38" s="61">
        <v>0.75</v>
      </c>
      <c r="H38" s="61">
        <v>0.78</v>
      </c>
      <c r="I38" s="61">
        <v>0.75</v>
      </c>
      <c r="J38" s="270">
        <v>0.77</v>
      </c>
      <c r="K38" s="72">
        <v>25.96</v>
      </c>
      <c r="L38" s="144">
        <v>25.99</v>
      </c>
      <c r="M38" s="277"/>
      <c r="N38" s="180"/>
      <c r="O38" s="180"/>
      <c r="P38" s="178"/>
      <c r="Q38" s="276"/>
      <c r="R38" s="145">
        <v>55</v>
      </c>
      <c r="S38" s="64">
        <f t="shared" si="0"/>
        <v>13.627369009702809</v>
      </c>
      <c r="T38" s="143">
        <v>3</v>
      </c>
      <c r="V38" s="143">
        <f t="shared" si="4"/>
        <v>27</v>
      </c>
      <c r="W38" s="143">
        <f t="shared" si="1"/>
        <v>0</v>
      </c>
      <c r="X38" s="143">
        <f>IF(OR(K38&gt;Cuts!$B$16, L38&gt;Cuts!B$16), 1,0)</f>
        <v>0</v>
      </c>
      <c r="Y38" s="246">
        <f>IF(OR(C38&gt;Cuts!$C$16, D38&gt;Cuts!$C$16),1,0)</f>
        <v>0</v>
      </c>
      <c r="Z38" s="143">
        <f t="shared" si="2"/>
        <v>0</v>
      </c>
    </row>
    <row r="39" spans="1:26">
      <c r="A39" s="66">
        <f t="shared" si="3"/>
        <v>28</v>
      </c>
      <c r="B39" s="140"/>
      <c r="C39" s="257">
        <v>204</v>
      </c>
      <c r="D39" s="54">
        <v>204</v>
      </c>
      <c r="E39" s="271">
        <v>0.76</v>
      </c>
      <c r="F39" s="61">
        <v>0.77</v>
      </c>
      <c r="G39" s="61">
        <v>0.75</v>
      </c>
      <c r="H39" s="61">
        <v>0.77</v>
      </c>
      <c r="I39" s="61">
        <v>0.75</v>
      </c>
      <c r="J39" s="270">
        <v>0.77</v>
      </c>
      <c r="K39" s="72">
        <v>25.84</v>
      </c>
      <c r="L39" s="144">
        <v>26.06</v>
      </c>
      <c r="M39" s="277"/>
      <c r="N39" s="180"/>
      <c r="O39" s="180"/>
      <c r="P39" s="178"/>
      <c r="Q39" s="276"/>
      <c r="R39" s="145">
        <v>54.4</v>
      </c>
      <c r="S39" s="64">
        <f t="shared" si="0"/>
        <v>13.491692068993142</v>
      </c>
      <c r="T39" s="143">
        <v>3</v>
      </c>
      <c r="V39" s="143">
        <f t="shared" si="4"/>
        <v>28</v>
      </c>
      <c r="W39" s="143">
        <f t="shared" si="1"/>
        <v>0</v>
      </c>
      <c r="X39" s="143">
        <f>IF(OR(K39&gt;Cuts!$B$16, L39&gt;Cuts!B$16), 1,0)</f>
        <v>0</v>
      </c>
      <c r="Y39" s="246">
        <f>IF(OR(C39&gt;Cuts!$C$16, D39&gt;Cuts!$C$16),1,0)</f>
        <v>0</v>
      </c>
      <c r="Z39" s="143">
        <f t="shared" si="2"/>
        <v>0</v>
      </c>
    </row>
    <row r="40" spans="1:26">
      <c r="A40" s="66">
        <f t="shared" si="3"/>
        <v>29</v>
      </c>
      <c r="B40" s="140"/>
      <c r="C40" s="257">
        <v>204</v>
      </c>
      <c r="D40" s="54">
        <v>204</v>
      </c>
      <c r="E40" s="271">
        <v>0.76</v>
      </c>
      <c r="F40" s="61">
        <v>0.78</v>
      </c>
      <c r="G40" s="61">
        <v>0.76</v>
      </c>
      <c r="H40" s="61">
        <v>0.77</v>
      </c>
      <c r="I40" s="61">
        <v>0.76</v>
      </c>
      <c r="J40" s="270">
        <v>0.77</v>
      </c>
      <c r="K40" s="72">
        <v>25.86</v>
      </c>
      <c r="L40" s="144">
        <v>26</v>
      </c>
      <c r="M40" s="277"/>
      <c r="N40" s="180"/>
      <c r="O40" s="180"/>
      <c r="P40" s="178"/>
      <c r="Q40" s="276"/>
      <c r="R40" s="145">
        <v>54.8</v>
      </c>
      <c r="S40" s="64">
        <f t="shared" si="0"/>
        <v>13.512673803068067</v>
      </c>
      <c r="T40" s="143">
        <v>3</v>
      </c>
      <c r="V40" s="143">
        <f t="shared" si="4"/>
        <v>29</v>
      </c>
      <c r="W40" s="143">
        <f t="shared" si="1"/>
        <v>0</v>
      </c>
      <c r="X40" s="143">
        <f>IF(OR(K40&gt;Cuts!$B$16, L40&gt;Cuts!B$16), 1,0)</f>
        <v>0</v>
      </c>
      <c r="Y40" s="246">
        <f>IF(OR(C40&gt;Cuts!$C$16, D40&gt;Cuts!$C$16),1,0)</f>
        <v>0</v>
      </c>
      <c r="Z40" s="143">
        <f t="shared" si="2"/>
        <v>0</v>
      </c>
    </row>
    <row r="41" spans="1:26">
      <c r="A41" s="66">
        <f t="shared" si="3"/>
        <v>30</v>
      </c>
      <c r="B41" s="140"/>
      <c r="C41" s="257">
        <v>204</v>
      </c>
      <c r="D41" s="54">
        <v>204</v>
      </c>
      <c r="E41" s="271">
        <v>0.73</v>
      </c>
      <c r="F41" s="61">
        <v>0.74</v>
      </c>
      <c r="G41" s="61">
        <v>0.74</v>
      </c>
      <c r="H41" s="61">
        <v>0.75</v>
      </c>
      <c r="I41" s="61">
        <v>0.74</v>
      </c>
      <c r="J41" s="270">
        <v>0.76</v>
      </c>
      <c r="K41" s="72">
        <v>26.02</v>
      </c>
      <c r="L41" s="144">
        <v>25.99</v>
      </c>
      <c r="M41" s="277"/>
      <c r="N41" s="180"/>
      <c r="O41" s="180"/>
      <c r="P41" s="178"/>
      <c r="Q41" s="276"/>
      <c r="R41" s="145">
        <v>53.5</v>
      </c>
      <c r="S41" s="64">
        <f t="shared" si="0"/>
        <v>13.566978855952209</v>
      </c>
      <c r="T41" s="143">
        <v>3</v>
      </c>
      <c r="V41" s="143">
        <f t="shared" si="4"/>
        <v>30</v>
      </c>
      <c r="W41" s="143">
        <f t="shared" si="1"/>
        <v>0</v>
      </c>
      <c r="X41" s="143">
        <f>IF(OR(K41&gt;Cuts!$B$16, L41&gt;Cuts!B$16), 1,0)</f>
        <v>0</v>
      </c>
      <c r="Y41" s="246">
        <f>IF(OR(C41&gt;Cuts!$C$16, D41&gt;Cuts!$C$16),1,0)</f>
        <v>0</v>
      </c>
      <c r="Z41" s="143">
        <f t="shared" si="2"/>
        <v>0</v>
      </c>
    </row>
    <row r="42" spans="1:26">
      <c r="A42" s="66">
        <f t="shared" si="3"/>
        <v>31</v>
      </c>
      <c r="B42" s="140"/>
      <c r="C42" s="257">
        <v>204</v>
      </c>
      <c r="D42" s="54">
        <v>204</v>
      </c>
      <c r="E42" s="271">
        <v>0.76</v>
      </c>
      <c r="F42" s="61">
        <v>0.77</v>
      </c>
      <c r="G42" s="61">
        <v>0.75</v>
      </c>
      <c r="H42" s="61">
        <v>0.76</v>
      </c>
      <c r="I42" s="61">
        <v>0.75</v>
      </c>
      <c r="J42" s="270">
        <v>0.75</v>
      </c>
      <c r="K42" s="72">
        <v>25.82</v>
      </c>
      <c r="L42" s="144">
        <v>26</v>
      </c>
      <c r="M42" s="277"/>
      <c r="N42" s="180"/>
      <c r="O42" s="180"/>
      <c r="P42" s="178"/>
      <c r="Q42" s="276"/>
      <c r="R42" s="145">
        <v>54.6</v>
      </c>
      <c r="S42" s="64">
        <f t="shared" si="0"/>
        <v>13.651817056850266</v>
      </c>
      <c r="T42" s="143">
        <v>3</v>
      </c>
      <c r="V42" s="143">
        <f t="shared" si="4"/>
        <v>31</v>
      </c>
      <c r="W42" s="143">
        <f t="shared" si="1"/>
        <v>0</v>
      </c>
      <c r="X42" s="143">
        <f>IF(OR(K42&gt;Cuts!$B$16, L42&gt;Cuts!B$16), 1,0)</f>
        <v>0</v>
      </c>
      <c r="Y42" s="246">
        <f>IF(OR(C42&gt;Cuts!$C$16, D42&gt;Cuts!$C$16),1,0)</f>
        <v>0</v>
      </c>
      <c r="Z42" s="143">
        <f t="shared" si="2"/>
        <v>0</v>
      </c>
    </row>
    <row r="43" spans="1:26">
      <c r="A43" s="66">
        <f t="shared" si="3"/>
        <v>32</v>
      </c>
      <c r="B43" s="140" t="s">
        <v>76</v>
      </c>
      <c r="C43" s="257">
        <v>204</v>
      </c>
      <c r="D43" s="54">
        <v>204</v>
      </c>
      <c r="E43" s="271">
        <v>0.77</v>
      </c>
      <c r="F43" s="61">
        <v>0.78</v>
      </c>
      <c r="G43" s="61">
        <v>0.78</v>
      </c>
      <c r="H43" s="61">
        <v>0.78</v>
      </c>
      <c r="I43" s="61">
        <v>0.78</v>
      </c>
      <c r="J43" s="270">
        <v>0.78</v>
      </c>
      <c r="K43" s="72">
        <v>26.01</v>
      </c>
      <c r="L43" s="144">
        <v>25.93</v>
      </c>
      <c r="M43" s="277"/>
      <c r="N43" s="180"/>
      <c r="O43" s="180"/>
      <c r="P43" s="178"/>
      <c r="Q43" s="276"/>
      <c r="R43" s="145">
        <v>55.6</v>
      </c>
      <c r="S43" s="64">
        <f t="shared" si="0"/>
        <v>13.483636758004074</v>
      </c>
      <c r="T43" s="143">
        <v>3</v>
      </c>
      <c r="V43" s="143">
        <f t="shared" si="4"/>
        <v>32</v>
      </c>
      <c r="W43" s="143">
        <f t="shared" si="1"/>
        <v>0</v>
      </c>
      <c r="X43" s="143">
        <f>IF(OR(K43&gt;Cuts!$B$16, L43&gt;Cuts!B$16), 1,0)</f>
        <v>0</v>
      </c>
      <c r="Y43" s="246">
        <f>IF(OR(C43&gt;Cuts!$C$16, D43&gt;Cuts!$C$16),1,0)</f>
        <v>0</v>
      </c>
      <c r="Z43" s="143">
        <f t="shared" si="2"/>
        <v>0</v>
      </c>
    </row>
    <row r="44" spans="1:26">
      <c r="A44" s="171">
        <f t="shared" si="3"/>
        <v>33</v>
      </c>
      <c r="B44" s="140" t="s">
        <v>98</v>
      </c>
      <c r="C44" s="158">
        <v>204</v>
      </c>
      <c r="D44" s="137">
        <v>204</v>
      </c>
      <c r="E44" s="271">
        <v>0.75</v>
      </c>
      <c r="F44" s="61">
        <v>0.77</v>
      </c>
      <c r="G44" s="61">
        <v>0.75</v>
      </c>
      <c r="H44" s="61">
        <v>0.77</v>
      </c>
      <c r="I44" s="61">
        <v>0.73</v>
      </c>
      <c r="J44" s="270">
        <v>0.75</v>
      </c>
      <c r="K44" s="235">
        <v>28.36</v>
      </c>
      <c r="L44" s="260">
        <v>28.23</v>
      </c>
      <c r="M44" s="277"/>
      <c r="N44" s="180"/>
      <c r="O44" s="180"/>
      <c r="P44" s="178"/>
      <c r="Q44" s="276"/>
      <c r="R44" s="145">
        <v>60.9</v>
      </c>
      <c r="S44" s="64">
        <f t="shared" si="0"/>
        <v>14.005229907002512</v>
      </c>
      <c r="T44" s="143">
        <v>3</v>
      </c>
      <c r="V44" s="265">
        <f t="shared" si="4"/>
        <v>33</v>
      </c>
      <c r="W44" s="143">
        <f t="shared" si="1"/>
        <v>0</v>
      </c>
      <c r="X44" s="143">
        <f>IF(OR(K44&gt;Cuts!$B$16, L44&gt;Cuts!B$16), 1,0)</f>
        <v>1</v>
      </c>
      <c r="Y44" s="246">
        <f>IF(OR(C44&gt;Cuts!$C$16, D44&gt;Cuts!$C$16),1,0)</f>
        <v>0</v>
      </c>
      <c r="Z44" s="143">
        <f t="shared" si="2"/>
        <v>0</v>
      </c>
    </row>
    <row r="45" spans="1:26">
      <c r="A45" s="171">
        <f t="shared" si="3"/>
        <v>34</v>
      </c>
      <c r="B45" s="140"/>
      <c r="C45" s="158">
        <v>204</v>
      </c>
      <c r="D45" s="137">
        <v>204</v>
      </c>
      <c r="E45" s="271">
        <v>0.78</v>
      </c>
      <c r="F45" s="61">
        <v>0.75</v>
      </c>
      <c r="G45" s="61">
        <v>0.78</v>
      </c>
      <c r="H45" s="61">
        <v>0.76</v>
      </c>
      <c r="I45" s="61">
        <v>0.76</v>
      </c>
      <c r="J45" s="270">
        <v>0.75</v>
      </c>
      <c r="K45" s="235">
        <v>28.35</v>
      </c>
      <c r="L45" s="260">
        <v>28.2</v>
      </c>
      <c r="M45" s="277"/>
      <c r="N45" s="180"/>
      <c r="O45" s="180"/>
      <c r="P45" s="178"/>
      <c r="Q45" s="276"/>
      <c r="R45" s="145">
        <v>61.9</v>
      </c>
      <c r="S45" s="64">
        <f t="shared" si="0"/>
        <v>14.058650692042191</v>
      </c>
      <c r="T45" s="143">
        <v>3</v>
      </c>
      <c r="V45" s="265">
        <f t="shared" si="4"/>
        <v>34</v>
      </c>
      <c r="W45" s="143">
        <f t="shared" si="1"/>
        <v>0</v>
      </c>
      <c r="X45" s="143">
        <f>IF(OR(K45&gt;Cuts!$B$16, L45&gt;Cuts!B$16), 1,0)</f>
        <v>1</v>
      </c>
      <c r="Y45" s="246">
        <f>IF(OR(C45&gt;Cuts!$C$16, D45&gt;Cuts!$C$16),1,0)</f>
        <v>0</v>
      </c>
      <c r="Z45" s="143">
        <f t="shared" si="2"/>
        <v>0</v>
      </c>
    </row>
    <row r="46" spans="1:26">
      <c r="A46" s="78">
        <f t="shared" si="3"/>
        <v>35</v>
      </c>
      <c r="B46" s="140"/>
      <c r="C46" s="158">
        <v>203</v>
      </c>
      <c r="D46" s="137">
        <v>204</v>
      </c>
      <c r="E46" s="271">
        <v>0.75</v>
      </c>
      <c r="F46" s="61">
        <v>0.76</v>
      </c>
      <c r="G46" s="61">
        <v>0.76</v>
      </c>
      <c r="H46" s="61">
        <v>0.78</v>
      </c>
      <c r="I46" s="61">
        <v>0.76</v>
      </c>
      <c r="J46" s="270">
        <v>0.78</v>
      </c>
      <c r="K46" s="235">
        <v>27.92</v>
      </c>
      <c r="L46" s="260">
        <v>28.4</v>
      </c>
      <c r="M46" s="277"/>
      <c r="N46" s="180"/>
      <c r="O46" s="180"/>
      <c r="P46" s="178"/>
      <c r="Q46" s="276"/>
      <c r="R46" s="145">
        <v>61</v>
      </c>
      <c r="S46" s="64">
        <f t="shared" si="0"/>
        <v>13.914619529592791</v>
      </c>
      <c r="T46" s="143">
        <v>3</v>
      </c>
      <c r="V46" s="225">
        <f t="shared" si="4"/>
        <v>35</v>
      </c>
      <c r="W46" s="143">
        <f t="shared" si="1"/>
        <v>0</v>
      </c>
      <c r="X46" s="143">
        <f>IF(OR(K46&gt;Cuts!$B$16, L46&gt;Cuts!B$16), 1,0)</f>
        <v>1</v>
      </c>
      <c r="Y46" s="246">
        <f>IF(OR(C46&gt;Cuts!$C$16, D46&gt;Cuts!$C$16),1,0)</f>
        <v>0</v>
      </c>
      <c r="Z46" s="143">
        <f t="shared" si="2"/>
        <v>0</v>
      </c>
    </row>
    <row r="47" spans="1:26">
      <c r="A47" s="66">
        <f t="shared" si="3"/>
        <v>36</v>
      </c>
      <c r="B47" s="140"/>
      <c r="C47" s="158">
        <v>205</v>
      </c>
      <c r="D47" s="137">
        <v>205</v>
      </c>
      <c r="E47" s="271">
        <v>0.78</v>
      </c>
      <c r="F47" s="61">
        <v>0.76</v>
      </c>
      <c r="G47" s="61">
        <v>0.78</v>
      </c>
      <c r="H47" s="61">
        <v>0.78</v>
      </c>
      <c r="I47" s="61">
        <v>0.78</v>
      </c>
      <c r="J47" s="270">
        <v>0.78</v>
      </c>
      <c r="K47" s="235">
        <v>26.57</v>
      </c>
      <c r="L47" s="260">
        <v>26.73</v>
      </c>
      <c r="M47" s="277"/>
      <c r="N47" s="180" t="s">
        <v>89</v>
      </c>
      <c r="O47" s="180"/>
      <c r="P47" s="178"/>
      <c r="Q47" s="274" t="s">
        <v>93</v>
      </c>
      <c r="R47" s="145">
        <v>59.2</v>
      </c>
      <c r="S47" s="64">
        <f t="shared" si="0"/>
        <v>13.951983886087076</v>
      </c>
      <c r="T47" s="143">
        <v>3</v>
      </c>
      <c r="V47" s="143">
        <f t="shared" si="4"/>
        <v>36</v>
      </c>
      <c r="W47" s="143">
        <f t="shared" si="1"/>
        <v>0</v>
      </c>
      <c r="X47" s="143">
        <f>IF(OR(K47&gt;Cuts!$B$16, L47&gt;Cuts!B$16), 1,0)</f>
        <v>0</v>
      </c>
      <c r="Y47" s="246">
        <f>IF(OR(C47&gt;Cuts!$C$16, D47&gt;Cuts!$C$16),1,0)</f>
        <v>0</v>
      </c>
      <c r="Z47" s="143">
        <f t="shared" si="2"/>
        <v>0</v>
      </c>
    </row>
    <row r="48" spans="1:26">
      <c r="A48" s="66">
        <f t="shared" si="3"/>
        <v>37</v>
      </c>
      <c r="B48" s="140"/>
      <c r="C48" s="158">
        <v>204</v>
      </c>
      <c r="D48" s="137">
        <v>204</v>
      </c>
      <c r="E48" s="271">
        <v>0.8</v>
      </c>
      <c r="F48" s="61">
        <v>0.8</v>
      </c>
      <c r="G48" s="61">
        <v>0.8</v>
      </c>
      <c r="H48" s="61">
        <v>0.8</v>
      </c>
      <c r="I48" s="61">
        <v>0.79</v>
      </c>
      <c r="J48" s="270">
        <v>0.79</v>
      </c>
      <c r="K48" s="235">
        <v>26.76</v>
      </c>
      <c r="L48" s="260">
        <v>26.7</v>
      </c>
      <c r="M48" s="277"/>
      <c r="N48" s="180"/>
      <c r="O48" s="180"/>
      <c r="P48" s="178"/>
      <c r="Q48" s="276"/>
      <c r="R48" s="145">
        <v>60.1</v>
      </c>
      <c r="S48" s="64">
        <f t="shared" si="0"/>
        <v>13.834666663720181</v>
      </c>
      <c r="T48" s="143">
        <v>3</v>
      </c>
      <c r="V48" s="143">
        <f t="shared" si="4"/>
        <v>37</v>
      </c>
      <c r="W48" s="143">
        <f t="shared" si="1"/>
        <v>0</v>
      </c>
      <c r="X48" s="143">
        <f>IF(OR(K48&gt;Cuts!$B$16, L48&gt;Cuts!B$16), 1,0)</f>
        <v>0</v>
      </c>
      <c r="Y48" s="246">
        <f>IF(OR(C48&gt;Cuts!$C$16, D48&gt;Cuts!$C$16),1,0)</f>
        <v>0</v>
      </c>
      <c r="Z48" s="143">
        <f t="shared" si="2"/>
        <v>0</v>
      </c>
    </row>
    <row r="49" spans="1:26">
      <c r="A49" s="66">
        <f t="shared" si="3"/>
        <v>38</v>
      </c>
      <c r="B49" s="140"/>
      <c r="C49" s="158">
        <v>203</v>
      </c>
      <c r="D49" s="137">
        <v>203</v>
      </c>
      <c r="E49" s="271">
        <v>0.79</v>
      </c>
      <c r="F49" s="61">
        <v>0.79</v>
      </c>
      <c r="G49" s="61">
        <v>0.79</v>
      </c>
      <c r="H49" s="61">
        <v>0.79</v>
      </c>
      <c r="I49" s="61">
        <v>0.79</v>
      </c>
      <c r="J49" s="270">
        <v>0.79</v>
      </c>
      <c r="K49" s="235">
        <v>26.08</v>
      </c>
      <c r="L49" s="260">
        <v>26.03</v>
      </c>
      <c r="M49" s="277"/>
      <c r="N49" s="180"/>
      <c r="O49" s="180"/>
      <c r="P49" s="178"/>
      <c r="Q49" s="276"/>
      <c r="R49" s="145">
        <v>58.1</v>
      </c>
      <c r="S49" s="64">
        <f t="shared" si="0"/>
        <v>13.904709684320371</v>
      </c>
      <c r="T49" s="143">
        <v>3</v>
      </c>
      <c r="V49" s="143">
        <f t="shared" si="4"/>
        <v>38</v>
      </c>
      <c r="W49" s="143">
        <f t="shared" si="1"/>
        <v>0</v>
      </c>
      <c r="X49" s="143">
        <f>IF(OR(K49&gt;Cuts!$B$16, L49&gt;Cuts!B$16), 1,0)</f>
        <v>0</v>
      </c>
      <c r="Y49" s="246">
        <f>IF(OR(C49&gt;Cuts!$C$16, D49&gt;Cuts!$C$16),1,0)</f>
        <v>0</v>
      </c>
      <c r="Z49" s="143">
        <f t="shared" si="2"/>
        <v>0</v>
      </c>
    </row>
    <row r="50" spans="1:26">
      <c r="A50" s="66">
        <f t="shared" si="3"/>
        <v>39</v>
      </c>
      <c r="B50" s="140"/>
      <c r="C50" s="158">
        <v>204</v>
      </c>
      <c r="D50" s="137">
        <v>204</v>
      </c>
      <c r="E50" s="271">
        <v>0.79</v>
      </c>
      <c r="F50" s="61">
        <v>0.78</v>
      </c>
      <c r="G50" s="61">
        <v>0.8</v>
      </c>
      <c r="H50" s="61">
        <v>0.78</v>
      </c>
      <c r="I50" s="61">
        <v>0.76</v>
      </c>
      <c r="J50" s="270">
        <v>0.75</v>
      </c>
      <c r="K50" s="235">
        <v>26.49</v>
      </c>
      <c r="L50" s="260">
        <v>26.7</v>
      </c>
      <c r="M50" s="277"/>
      <c r="N50" s="180"/>
      <c r="O50" s="180"/>
      <c r="P50" s="178"/>
      <c r="Q50" s="276"/>
      <c r="R50" s="145">
        <v>59</v>
      </c>
      <c r="S50" s="64">
        <f t="shared" si="0"/>
        <v>14.001906822388751</v>
      </c>
      <c r="T50" s="143">
        <v>3</v>
      </c>
      <c r="V50" s="143">
        <f t="shared" si="4"/>
        <v>39</v>
      </c>
      <c r="W50" s="143">
        <f t="shared" si="1"/>
        <v>0</v>
      </c>
      <c r="X50" s="143">
        <f>IF(OR(K50&gt;Cuts!$B$16, L50&gt;Cuts!B$16), 1,0)</f>
        <v>0</v>
      </c>
      <c r="Y50" s="246">
        <f>IF(OR(C50&gt;Cuts!$C$16, D50&gt;Cuts!$C$16),1,0)</f>
        <v>0</v>
      </c>
      <c r="Z50" s="143">
        <f t="shared" si="2"/>
        <v>0</v>
      </c>
    </row>
    <row r="51" spans="1:26">
      <c r="A51" s="66">
        <f t="shared" si="3"/>
        <v>40</v>
      </c>
      <c r="B51" s="140"/>
      <c r="C51" s="158">
        <v>204</v>
      </c>
      <c r="D51" s="137">
        <v>204</v>
      </c>
      <c r="E51" s="271">
        <v>0.79</v>
      </c>
      <c r="F51" s="61">
        <v>0.79</v>
      </c>
      <c r="G51" s="61">
        <v>0.8</v>
      </c>
      <c r="H51" s="61">
        <v>0.8</v>
      </c>
      <c r="I51" s="61">
        <v>0.77</v>
      </c>
      <c r="J51" s="270">
        <v>0.78</v>
      </c>
      <c r="K51" s="235">
        <v>26.2</v>
      </c>
      <c r="L51" s="260">
        <v>26.04</v>
      </c>
      <c r="M51" s="277"/>
      <c r="N51" s="180"/>
      <c r="O51" s="180"/>
      <c r="P51" s="178"/>
      <c r="Q51" s="276"/>
      <c r="R51" s="145">
        <v>59.2</v>
      </c>
      <c r="S51" s="64">
        <f t="shared" si="0"/>
        <v>14.09316304475551</v>
      </c>
      <c r="T51" s="143">
        <v>3</v>
      </c>
      <c r="V51" s="143">
        <f t="shared" si="4"/>
        <v>40</v>
      </c>
      <c r="W51" s="143">
        <f t="shared" si="1"/>
        <v>0</v>
      </c>
      <c r="X51" s="143">
        <f>IF(OR(K51&gt;Cuts!$B$16, L51&gt;Cuts!B$16), 1,0)</f>
        <v>0</v>
      </c>
      <c r="Y51" s="246">
        <f>IF(OR(C51&gt;Cuts!$C$16, D51&gt;Cuts!$C$16),1,0)</f>
        <v>0</v>
      </c>
      <c r="Z51" s="143">
        <f t="shared" si="2"/>
        <v>0</v>
      </c>
    </row>
    <row r="52" spans="1:26">
      <c r="A52" s="66">
        <f t="shared" si="3"/>
        <v>41</v>
      </c>
      <c r="B52" s="140"/>
      <c r="C52" s="158">
        <v>203</v>
      </c>
      <c r="D52" s="137">
        <v>203</v>
      </c>
      <c r="E52" s="271">
        <v>0.77</v>
      </c>
      <c r="F52" s="61">
        <v>0.77</v>
      </c>
      <c r="G52" s="61">
        <v>0.76</v>
      </c>
      <c r="H52" s="61">
        <v>0.79</v>
      </c>
      <c r="I52" s="61">
        <v>0.75</v>
      </c>
      <c r="J52" s="270">
        <v>0.78</v>
      </c>
      <c r="K52" s="235">
        <v>26.56</v>
      </c>
      <c r="L52" s="260">
        <v>26.61</v>
      </c>
      <c r="M52" s="277"/>
      <c r="N52" s="180"/>
      <c r="O52" s="180"/>
      <c r="P52" s="178"/>
      <c r="Q52" s="276"/>
      <c r="R52" s="145">
        <v>58.4</v>
      </c>
      <c r="S52" s="64">
        <f t="shared" si="0"/>
        <v>14.053659253413548</v>
      </c>
      <c r="T52" s="143">
        <v>3</v>
      </c>
      <c r="V52" s="143">
        <f t="shared" si="4"/>
        <v>41</v>
      </c>
      <c r="W52" s="143">
        <f t="shared" si="1"/>
        <v>0</v>
      </c>
      <c r="X52" s="143">
        <f>IF(OR(K52&gt;Cuts!$B$16, L52&gt;Cuts!B$16), 1,0)</f>
        <v>0</v>
      </c>
      <c r="Y52" s="246">
        <f>IF(OR(C52&gt;Cuts!$C$16, D52&gt;Cuts!$C$16),1,0)</f>
        <v>0</v>
      </c>
      <c r="Z52" s="143">
        <f t="shared" si="2"/>
        <v>0</v>
      </c>
    </row>
    <row r="53" spans="1:26">
      <c r="A53" s="111">
        <f t="shared" si="3"/>
        <v>42</v>
      </c>
      <c r="B53" s="130"/>
      <c r="C53" s="266">
        <v>204</v>
      </c>
      <c r="D53" s="267">
        <v>204</v>
      </c>
      <c r="E53" s="272">
        <v>0.79</v>
      </c>
      <c r="F53" s="128">
        <v>0.79</v>
      </c>
      <c r="G53" s="128">
        <v>0.78</v>
      </c>
      <c r="H53" s="128">
        <v>0.78</v>
      </c>
      <c r="I53" s="128">
        <v>0.77</v>
      </c>
      <c r="J53" s="273">
        <v>0.77</v>
      </c>
      <c r="K53" s="237">
        <v>26.69</v>
      </c>
      <c r="L53" s="261">
        <v>26.78</v>
      </c>
      <c r="M53" s="278"/>
      <c r="N53" s="185"/>
      <c r="O53" s="185"/>
      <c r="P53" s="186"/>
      <c r="Q53" s="279"/>
      <c r="R53" s="151">
        <v>59.2</v>
      </c>
      <c r="S53" s="96">
        <f t="shared" si="0"/>
        <v>13.916074598810381</v>
      </c>
      <c r="T53" s="152">
        <v>3</v>
      </c>
      <c r="V53" s="152">
        <f t="shared" si="4"/>
        <v>42</v>
      </c>
      <c r="W53" s="152">
        <f t="shared" si="1"/>
        <v>0</v>
      </c>
      <c r="X53" s="152">
        <f>IF(OR(K53&gt;Cuts!$B$16, L53&gt;Cuts!B$16), 1,0)</f>
        <v>0</v>
      </c>
      <c r="Y53" s="248">
        <f>IF(OR(C53&gt;Cuts!$C$16, D53&gt;Cuts!$C$16),1,0)</f>
        <v>0</v>
      </c>
      <c r="Z53" s="152">
        <f t="shared" si="2"/>
        <v>0</v>
      </c>
    </row>
    <row r="54" spans="1:26" s="97" customFormat="1">
      <c r="W54" s="97">
        <f>SUM(W12:W53)</f>
        <v>0</v>
      </c>
      <c r="X54" s="97">
        <f>SUM(X12:X53)</f>
        <v>3</v>
      </c>
      <c r="Y54" s="97">
        <f>SUM(Y12:Y53)</f>
        <v>0</v>
      </c>
      <c r="Z54" s="97">
        <f>SUM(Z12:Z53)</f>
        <v>0</v>
      </c>
    </row>
    <row r="56" spans="1:26">
      <c r="A56" s="66" t="s">
        <v>114</v>
      </c>
      <c r="C56" s="57" t="s">
        <v>132</v>
      </c>
      <c r="E56" s="57" t="s">
        <v>133</v>
      </c>
      <c r="K56" s="57" t="s">
        <v>130</v>
      </c>
      <c r="R56" s="57" t="s">
        <v>134</v>
      </c>
      <c r="S56" s="57" t="s">
        <v>135</v>
      </c>
    </row>
    <row r="57" spans="1:26">
      <c r="A57" s="66"/>
    </row>
    <row r="58" spans="1:26">
      <c r="A58" s="57" t="s">
        <v>116</v>
      </c>
      <c r="C58" s="57">
        <f>8*25.4</f>
        <v>203.2</v>
      </c>
      <c r="E58" s="65">
        <f>C6</f>
        <v>0.7619999999999999</v>
      </c>
      <c r="K58" s="102">
        <v>25.4</v>
      </c>
    </row>
    <row r="59" spans="1:26">
      <c r="A59" s="57" t="s">
        <v>111</v>
      </c>
      <c r="C59" s="57">
        <f>MODE(C12:D53)</f>
        <v>204</v>
      </c>
      <c r="E59" s="57">
        <f>MODE(E12:J53)</f>
        <v>0.78</v>
      </c>
      <c r="K59" s="57">
        <f>MODE(K12:L53)</f>
        <v>26.02</v>
      </c>
      <c r="R59" s="57">
        <f>MODE(R12:R53)</f>
        <v>55.8</v>
      </c>
      <c r="S59" s="57" t="e">
        <f>MODE(S12:S53)</f>
        <v>#N/A</v>
      </c>
    </row>
    <row r="60" spans="1:26">
      <c r="A60" s="57" t="s">
        <v>110</v>
      </c>
      <c r="C60" s="121">
        <f>AVERAGE(C12:D53)</f>
        <v>203.96428571428572</v>
      </c>
      <c r="D60" s="121"/>
      <c r="E60" s="65">
        <f>AVERAGE(E12:J53)</f>
        <v>0.76773809523809533</v>
      </c>
      <c r="K60" s="153">
        <f>AVERAGE(K12:L53)</f>
        <v>26.22011904761905</v>
      </c>
      <c r="R60" s="104">
        <f>AVERAGE(R12:R53)</f>
        <v>56.159523809523805</v>
      </c>
      <c r="S60" s="104">
        <f>AVERAGE(S12:S53)</f>
        <v>13.674725009424375</v>
      </c>
    </row>
    <row r="61" spans="1:26">
      <c r="A61" s="57" t="s">
        <v>117</v>
      </c>
      <c r="C61" s="57">
        <f>STDEV(C12:D53)</f>
        <v>0.28817784717199985</v>
      </c>
      <c r="E61" s="57">
        <f>STDEV(E12:J53)</f>
        <v>1.5280995447137447E-2</v>
      </c>
      <c r="K61" s="57">
        <f>STDEV(K12:L53)</f>
        <v>0.62221813485590727</v>
      </c>
      <c r="R61" s="57">
        <f>STDEV(R12:R53)</f>
        <v>2.1955675441405655</v>
      </c>
      <c r="S61" s="57">
        <f>STDEV(S12:S53)</f>
        <v>0.18625610976952545</v>
      </c>
    </row>
    <row r="62" spans="1:26">
      <c r="A62" s="154" t="s">
        <v>118</v>
      </c>
      <c r="E62" s="65">
        <f>E60+E61</f>
        <v>0.78301909068523279</v>
      </c>
      <c r="K62" s="153">
        <f>K60+K61</f>
        <v>26.842337182474957</v>
      </c>
      <c r="R62" s="57">
        <f>R60+R61</f>
        <v>58.355091353664371</v>
      </c>
      <c r="S62" s="104">
        <f>S60+S61</f>
        <v>13.8609811191939</v>
      </c>
    </row>
    <row r="63" spans="1:26">
      <c r="A63" s="154" t="s">
        <v>119</v>
      </c>
      <c r="E63" s="65">
        <f>E60-E61</f>
        <v>0.75245709979095787</v>
      </c>
      <c r="K63" s="153">
        <f>K60-K61</f>
        <v>25.597900912763144</v>
      </c>
      <c r="R63" s="57">
        <f>R60-R61</f>
        <v>53.963956265383239</v>
      </c>
      <c r="S63" s="104">
        <f>S60-S61</f>
        <v>13.488468899654849</v>
      </c>
    </row>
    <row r="64" spans="1:26">
      <c r="A64" s="57" t="s">
        <v>124</v>
      </c>
      <c r="C64" s="153">
        <f>MAX(C12:D53)-C58</f>
        <v>1.8000000000000114</v>
      </c>
      <c r="E64" s="65">
        <f>MAX($E$12:J53)-$E$58</f>
        <v>3.8000000000000145E-2</v>
      </c>
      <c r="K64" s="153">
        <f>MAX(K12:L53)-$K$58</f>
        <v>3</v>
      </c>
    </row>
    <row r="65" spans="1:11">
      <c r="A65" s="57" t="s">
        <v>125</v>
      </c>
      <c r="C65" s="153">
        <f>MIN(C12:D53)-C58</f>
        <v>-0.19999999999998863</v>
      </c>
      <c r="E65" s="65">
        <f>MIN($E$12:J53)-$E$58</f>
        <v>-3.1999999999999917E-2</v>
      </c>
      <c r="K65" s="153">
        <f>MIN(K12:L53)-K58</f>
        <v>8.9999999999999858E-2</v>
      </c>
    </row>
    <row r="66" spans="1:11" ht="15.75" thickBot="1"/>
    <row r="67" spans="1:11">
      <c r="A67" s="57" t="s">
        <v>146</v>
      </c>
      <c r="C67" s="40" t="s">
        <v>147</v>
      </c>
      <c r="D67" s="40" t="s">
        <v>149</v>
      </c>
    </row>
    <row r="68" spans="1:11">
      <c r="A68" s="57">
        <v>0.72</v>
      </c>
      <c r="C68" s="123">
        <v>0.72</v>
      </c>
      <c r="D68" s="124">
        <v>0</v>
      </c>
    </row>
    <row r="69" spans="1:11">
      <c r="A69" s="57">
        <f>A68+0.01</f>
        <v>0.73</v>
      </c>
      <c r="C69" s="123">
        <v>0.73</v>
      </c>
      <c r="D69" s="124">
        <v>4</v>
      </c>
    </row>
    <row r="70" spans="1:11">
      <c r="A70" s="57">
        <f t="shared" ref="A70:A77" si="5">A69+0.01</f>
        <v>0.74</v>
      </c>
      <c r="C70" s="123">
        <v>0.74</v>
      </c>
      <c r="D70" s="124">
        <v>16</v>
      </c>
    </row>
    <row r="71" spans="1:11">
      <c r="A71" s="57">
        <f t="shared" si="5"/>
        <v>0.75</v>
      </c>
      <c r="C71" s="123">
        <v>0.75</v>
      </c>
      <c r="D71" s="124">
        <v>34</v>
      </c>
    </row>
    <row r="72" spans="1:11">
      <c r="A72" s="57">
        <f t="shared" si="5"/>
        <v>0.76</v>
      </c>
      <c r="C72" s="123">
        <v>0.76</v>
      </c>
      <c r="D72" s="124">
        <v>49</v>
      </c>
    </row>
    <row r="73" spans="1:11">
      <c r="A73" s="57">
        <f t="shared" si="5"/>
        <v>0.77</v>
      </c>
      <c r="C73" s="123">
        <v>0.77</v>
      </c>
      <c r="D73" s="124">
        <v>59</v>
      </c>
    </row>
    <row r="74" spans="1:11">
      <c r="A74" s="57">
        <f t="shared" si="5"/>
        <v>0.78</v>
      </c>
      <c r="C74" s="123">
        <v>0.78</v>
      </c>
      <c r="D74" s="124">
        <v>63</v>
      </c>
    </row>
    <row r="75" spans="1:11">
      <c r="A75" s="57">
        <f t="shared" si="5"/>
        <v>0.79</v>
      </c>
      <c r="C75" s="123">
        <v>0.79</v>
      </c>
      <c r="D75" s="124">
        <v>20</v>
      </c>
    </row>
    <row r="76" spans="1:11">
      <c r="A76" s="57">
        <f>A75+0.01</f>
        <v>0.8</v>
      </c>
      <c r="C76" s="123">
        <v>0.8</v>
      </c>
      <c r="D76" s="124">
        <v>7</v>
      </c>
    </row>
    <row r="77" spans="1:11">
      <c r="A77" s="57">
        <f t="shared" si="5"/>
        <v>0.81</v>
      </c>
      <c r="C77" s="123">
        <v>0.81</v>
      </c>
      <c r="D77" s="124">
        <v>0</v>
      </c>
    </row>
    <row r="78" spans="1:11" ht="15.75" thickBot="1">
      <c r="C78" s="125" t="s">
        <v>148</v>
      </c>
      <c r="D78" s="125">
        <v>0</v>
      </c>
    </row>
  </sheetData>
  <sortState ref="C68:C77">
    <sortCondition ref="C68"/>
  </sortState>
  <mergeCells count="4">
    <mergeCell ref="C9:D9"/>
    <mergeCell ref="E9:I9"/>
    <mergeCell ref="K9:L9"/>
    <mergeCell ref="M9:P9"/>
  </mergeCells>
  <pageMargins left="0.25" right="0.25" top="0.25" bottom="0.25" header="0.3" footer="0.3"/>
  <pageSetup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B74"/>
  <sheetViews>
    <sheetView topLeftCell="A2" zoomScale="75" zoomScaleNormal="75" workbookViewId="0">
      <selection activeCell="AD43" sqref="AD43"/>
    </sheetView>
  </sheetViews>
  <sheetFormatPr defaultRowHeight="15"/>
  <cols>
    <col min="1" max="1" width="6.28515625" style="57" customWidth="1"/>
    <col min="2" max="2" width="16.140625" style="57" customWidth="1"/>
    <col min="3" max="4" width="5.140625" style="57" customWidth="1"/>
    <col min="5" max="9" width="6.85546875" style="57" customWidth="1"/>
    <col min="10" max="10" width="6.85546875" style="57" bestFit="1" customWidth="1"/>
    <col min="11" max="12" width="6.85546875" style="57" customWidth="1"/>
    <col min="13" max="16" width="3.7109375" style="57" customWidth="1"/>
    <col min="17" max="17" width="7" style="57" customWidth="1"/>
    <col min="18" max="18" width="5.5703125" style="57" customWidth="1"/>
    <col min="19" max="19" width="5.140625" style="57" customWidth="1"/>
    <col min="20" max="20" width="9.85546875" style="57" customWidth="1"/>
    <col min="21" max="24" width="9.140625" style="57"/>
    <col min="25" max="25" width="9.5703125" style="57" bestFit="1" customWidth="1"/>
    <col min="26" max="16384" width="9.140625" style="57"/>
  </cols>
  <sheetData>
    <row r="1" spans="1:28">
      <c r="A1" s="57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104"/>
      <c r="S1" s="104"/>
      <c r="T1" s="104"/>
    </row>
    <row r="2" spans="1:28">
      <c r="A2" s="57" t="s">
        <v>1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104"/>
      <c r="S2" s="104"/>
      <c r="T2" s="104"/>
    </row>
    <row r="3" spans="1:28">
      <c r="A3" s="57" t="s">
        <v>58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104"/>
      <c r="S3" s="104"/>
      <c r="T3" s="104"/>
    </row>
    <row r="4" spans="1:28"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104"/>
      <c r="S4" s="104"/>
      <c r="T4" s="104"/>
    </row>
    <row r="5" spans="1:28">
      <c r="B5" s="52" t="s">
        <v>112</v>
      </c>
      <c r="C5" s="52" t="s">
        <v>113</v>
      </c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104"/>
      <c r="S5" s="104"/>
      <c r="T5" s="104"/>
    </row>
    <row r="6" spans="1:28">
      <c r="A6" s="57" t="s">
        <v>77</v>
      </c>
      <c r="B6" s="52">
        <v>3.5000000000000003E-2</v>
      </c>
      <c r="C6" s="52">
        <f>B6*25.4</f>
        <v>0.88900000000000001</v>
      </c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104"/>
      <c r="S6" s="104"/>
      <c r="T6" s="104"/>
    </row>
    <row r="7" spans="1:28"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104"/>
      <c r="S7" s="104"/>
      <c r="T7" s="104"/>
    </row>
    <row r="8" spans="1:28">
      <c r="A8" s="57" t="s">
        <v>115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104"/>
      <c r="S8" s="104"/>
      <c r="T8" s="104"/>
      <c r="V8" s="100" t="s">
        <v>157</v>
      </c>
      <c r="W8" s="100"/>
      <c r="Z8" s="100"/>
    </row>
    <row r="9" spans="1:28" ht="45">
      <c r="A9" s="111" t="s">
        <v>216</v>
      </c>
      <c r="B9" s="128" t="s">
        <v>60</v>
      </c>
      <c r="C9" s="767" t="s">
        <v>61</v>
      </c>
      <c r="D9" s="768"/>
      <c r="E9" s="766" t="s">
        <v>62</v>
      </c>
      <c r="F9" s="766"/>
      <c r="G9" s="766"/>
      <c r="H9" s="766"/>
      <c r="I9" s="766"/>
      <c r="J9" s="129"/>
      <c r="K9" s="767" t="s">
        <v>63</v>
      </c>
      <c r="L9" s="768"/>
      <c r="M9" s="767" t="s">
        <v>64</v>
      </c>
      <c r="N9" s="765"/>
      <c r="O9" s="765"/>
      <c r="P9" s="765"/>
      <c r="Q9" s="130" t="s">
        <v>91</v>
      </c>
      <c r="R9" s="39" t="s">
        <v>220</v>
      </c>
      <c r="S9" s="228" t="s">
        <v>221</v>
      </c>
      <c r="T9" s="155" t="s">
        <v>101</v>
      </c>
      <c r="V9" s="152" t="s">
        <v>216</v>
      </c>
      <c r="W9" s="46" t="s">
        <v>631</v>
      </c>
      <c r="X9" s="133" t="s">
        <v>123</v>
      </c>
      <c r="Y9" s="134" t="s">
        <v>155</v>
      </c>
      <c r="Z9" s="152" t="s">
        <v>196</v>
      </c>
      <c r="AA9" s="46" t="s">
        <v>223</v>
      </c>
      <c r="AB9" s="802" t="s">
        <v>628</v>
      </c>
    </row>
    <row r="10" spans="1:28">
      <c r="A10" s="97"/>
      <c r="B10" s="255"/>
      <c r="C10" s="256">
        <v>1</v>
      </c>
      <c r="D10" s="255">
        <v>2</v>
      </c>
      <c r="E10" s="256">
        <v>1</v>
      </c>
      <c r="F10" s="199">
        <v>2</v>
      </c>
      <c r="G10" s="199">
        <v>3</v>
      </c>
      <c r="H10" s="199">
        <v>4</v>
      </c>
      <c r="I10" s="199">
        <v>5</v>
      </c>
      <c r="J10" s="255">
        <v>6</v>
      </c>
      <c r="K10" s="256">
        <v>1</v>
      </c>
      <c r="L10" s="255">
        <v>2</v>
      </c>
      <c r="M10" s="256">
        <v>1</v>
      </c>
      <c r="N10" s="199">
        <v>2</v>
      </c>
      <c r="O10" s="199">
        <v>3</v>
      </c>
      <c r="P10" s="199">
        <v>4</v>
      </c>
      <c r="Q10" s="255"/>
      <c r="R10" s="262"/>
      <c r="S10" s="263"/>
      <c r="T10" s="280"/>
      <c r="V10" s="143"/>
      <c r="W10" s="143"/>
      <c r="X10" s="142"/>
      <c r="Y10" s="138"/>
      <c r="Z10" s="138"/>
      <c r="AA10" s="143"/>
    </row>
    <row r="11" spans="1:28">
      <c r="A11" s="66"/>
      <c r="B11" s="159"/>
      <c r="C11" s="60"/>
      <c r="D11" s="159"/>
      <c r="E11" s="60"/>
      <c r="F11" s="61"/>
      <c r="G11" s="61"/>
      <c r="H11" s="61"/>
      <c r="I11" s="61"/>
      <c r="J11" s="159"/>
      <c r="K11" s="60"/>
      <c r="L11" s="159"/>
      <c r="M11" s="60"/>
      <c r="N11" s="61"/>
      <c r="O11" s="61"/>
      <c r="P11" s="61"/>
      <c r="Q11" s="159"/>
      <c r="R11" s="145"/>
      <c r="S11" s="141"/>
      <c r="T11" s="140"/>
      <c r="V11" s="143"/>
      <c r="W11" s="143"/>
      <c r="X11" s="142"/>
      <c r="Y11" s="143"/>
      <c r="Z11" s="143"/>
      <c r="AA11" s="143"/>
    </row>
    <row r="12" spans="1:28">
      <c r="A12" s="66">
        <v>1</v>
      </c>
      <c r="B12" s="159"/>
      <c r="C12" s="257">
        <v>204</v>
      </c>
      <c r="D12" s="54">
        <v>204</v>
      </c>
      <c r="E12" s="60">
        <v>0.87</v>
      </c>
      <c r="F12" s="61">
        <v>0.86</v>
      </c>
      <c r="G12" s="61">
        <v>0.87</v>
      </c>
      <c r="H12" s="61">
        <v>0.89</v>
      </c>
      <c r="I12" s="61">
        <v>0.89</v>
      </c>
      <c r="J12" s="159">
        <v>0.89</v>
      </c>
      <c r="K12" s="72">
        <v>26.41</v>
      </c>
      <c r="L12" s="73">
        <v>25.89</v>
      </c>
      <c r="M12" s="275"/>
      <c r="N12" s="177"/>
      <c r="O12" s="177"/>
      <c r="P12" s="178"/>
      <c r="Q12" s="276"/>
      <c r="R12" s="145">
        <v>63</v>
      </c>
      <c r="S12" s="64">
        <f t="shared" ref="S12:S48" si="0">R12/(AVERAGE(C12:D12)*AVERAGE(E12:J12)*AVERAGE(K12:L12)*0.001)</f>
        <v>13.445573279761616</v>
      </c>
      <c r="T12" s="140">
        <v>3</v>
      </c>
      <c r="V12" s="143">
        <v>1</v>
      </c>
      <c r="W12" s="143">
        <f>MAX(E12:J12)-MIN(E12:J12)</f>
        <v>3.0000000000000027E-2</v>
      </c>
      <c r="X12" s="143">
        <f t="shared" ref="X12:X48" si="1">IF(OR(ABS(E12-$C$6)&gt;($C$6*0.1),ABS(F12-$C$6)&gt;($C$6*0.1),ABS(G12-$C$6)&gt;($C$6*0.1),ABS(H12-$C$6)&gt;($C$6*0.1),ABS(I12-$C$6)&gt;($C$6*0.1),ABS(J12-$C$6)&gt;($C$6*0.1)),1,0)</f>
        <v>0</v>
      </c>
      <c r="Y12" s="143">
        <f>IF(OR(K12&gt;Cuts!$B$16, L12&gt;Cuts!B$16), 1,0)</f>
        <v>0</v>
      </c>
      <c r="Z12" s="246">
        <f>IF(OR(C12&gt;Cuts!$C$16, D12&gt;Cuts!$C$16),1,0)</f>
        <v>0</v>
      </c>
      <c r="AA12" s="143">
        <f>IF(OR(M12="Y",N12="Y",O12="Y",P12="Y"),1,0)</f>
        <v>0</v>
      </c>
    </row>
    <row r="13" spans="1:28">
      <c r="A13" s="66">
        <f>A12+1</f>
        <v>2</v>
      </c>
      <c r="B13" s="159"/>
      <c r="C13" s="257">
        <v>204</v>
      </c>
      <c r="D13" s="54">
        <v>204</v>
      </c>
      <c r="E13" s="233">
        <v>0.89</v>
      </c>
      <c r="F13" s="71">
        <v>0.89</v>
      </c>
      <c r="G13" s="71">
        <v>0.89</v>
      </c>
      <c r="H13" s="71">
        <v>0.89</v>
      </c>
      <c r="I13" s="71">
        <v>0.89</v>
      </c>
      <c r="J13" s="234">
        <v>0.89</v>
      </c>
      <c r="K13" s="72">
        <v>25.99</v>
      </c>
      <c r="L13" s="73">
        <v>25.53</v>
      </c>
      <c r="M13" s="275"/>
      <c r="N13" s="177"/>
      <c r="O13" s="177"/>
      <c r="P13" s="178"/>
      <c r="Q13" s="276"/>
      <c r="R13" s="145">
        <v>64.099999999999994</v>
      </c>
      <c r="S13" s="64">
        <f t="shared" si="0"/>
        <v>13.705408885586476</v>
      </c>
      <c r="T13" s="140">
        <v>3</v>
      </c>
      <c r="V13" s="143">
        <f>V12+1</f>
        <v>2</v>
      </c>
      <c r="W13" s="143">
        <f t="shared" ref="W13:W48" si="2">MAX(E13:J13)-MIN(E13:J13)</f>
        <v>0</v>
      </c>
      <c r="X13" s="143">
        <f t="shared" si="1"/>
        <v>0</v>
      </c>
      <c r="Y13" s="143">
        <f>IF(OR(K13&gt;Cuts!$B$16, L13&gt;Cuts!B$16), 1,0)</f>
        <v>0</v>
      </c>
      <c r="Z13" s="246">
        <f>IF(OR(C13&gt;Cuts!$C$16, D13&gt;Cuts!$C$16),1,0)</f>
        <v>0</v>
      </c>
      <c r="AA13" s="143">
        <f t="shared" ref="AA13:AA48" si="3">IF(OR(M13="Y",N13="Y",O13="Y",P13="Y"),1,0)</f>
        <v>0</v>
      </c>
    </row>
    <row r="14" spans="1:28">
      <c r="A14" s="66">
        <f t="shared" ref="A14:A48" si="4">A13+1</f>
        <v>3</v>
      </c>
      <c r="B14" s="159"/>
      <c r="C14" s="257">
        <v>204</v>
      </c>
      <c r="D14" s="54">
        <v>204</v>
      </c>
      <c r="E14" s="233">
        <v>0.89</v>
      </c>
      <c r="F14" s="71">
        <v>0.9</v>
      </c>
      <c r="G14" s="71">
        <v>0.88</v>
      </c>
      <c r="H14" s="71">
        <v>0.9</v>
      </c>
      <c r="I14" s="71">
        <v>0.88</v>
      </c>
      <c r="J14" s="234">
        <v>0.9</v>
      </c>
      <c r="K14" s="72">
        <v>26.01</v>
      </c>
      <c r="L14" s="73">
        <v>25.7</v>
      </c>
      <c r="M14" s="275"/>
      <c r="N14" s="177"/>
      <c r="O14" s="177"/>
      <c r="P14" s="178"/>
      <c r="Q14" s="276"/>
      <c r="R14" s="145">
        <v>65.3</v>
      </c>
      <c r="S14" s="64">
        <f t="shared" si="0"/>
        <v>13.884682080648313</v>
      </c>
      <c r="T14" s="140">
        <v>3</v>
      </c>
      <c r="V14" s="143">
        <f t="shared" ref="V14:V48" si="5">V13+1</f>
        <v>3</v>
      </c>
      <c r="W14" s="143">
        <f t="shared" si="2"/>
        <v>2.0000000000000018E-2</v>
      </c>
      <c r="X14" s="143">
        <f t="shared" si="1"/>
        <v>0</v>
      </c>
      <c r="Y14" s="143">
        <f>IF(OR(K14&gt;Cuts!$B$16, L14&gt;Cuts!B$16), 1,0)</f>
        <v>0</v>
      </c>
      <c r="Z14" s="246">
        <f>IF(OR(C14&gt;Cuts!$C$16, D14&gt;Cuts!$C$16),1,0)</f>
        <v>0</v>
      </c>
      <c r="AA14" s="143">
        <f t="shared" si="3"/>
        <v>0</v>
      </c>
    </row>
    <row r="15" spans="1:28">
      <c r="A15" s="66">
        <f t="shared" si="4"/>
        <v>4</v>
      </c>
      <c r="B15" s="159"/>
      <c r="C15" s="257">
        <v>204</v>
      </c>
      <c r="D15" s="54">
        <v>204</v>
      </c>
      <c r="E15" s="233">
        <v>0.88</v>
      </c>
      <c r="F15" s="71">
        <v>0.85</v>
      </c>
      <c r="G15" s="71">
        <v>0.88</v>
      </c>
      <c r="H15" s="71">
        <v>0.86</v>
      </c>
      <c r="I15" s="71">
        <v>0.87</v>
      </c>
      <c r="J15" s="234">
        <v>0.85</v>
      </c>
      <c r="K15" s="72">
        <v>25.92</v>
      </c>
      <c r="L15" s="73">
        <v>25.59</v>
      </c>
      <c r="M15" s="275"/>
      <c r="N15" s="177"/>
      <c r="O15" s="177"/>
      <c r="P15" s="178"/>
      <c r="Q15" s="276"/>
      <c r="R15" s="145">
        <v>62.5</v>
      </c>
      <c r="S15" s="64">
        <f t="shared" si="0"/>
        <v>13.752200269529924</v>
      </c>
      <c r="T15" s="140">
        <v>3</v>
      </c>
      <c r="V15" s="143">
        <f t="shared" si="5"/>
        <v>4</v>
      </c>
      <c r="W15" s="143">
        <f t="shared" si="2"/>
        <v>3.0000000000000027E-2</v>
      </c>
      <c r="X15" s="143">
        <f t="shared" si="1"/>
        <v>0</v>
      </c>
      <c r="Y15" s="143">
        <f>IF(OR(K15&gt;Cuts!$B$16, L15&gt;Cuts!B$16), 1,0)</f>
        <v>0</v>
      </c>
      <c r="Z15" s="246">
        <f>IF(OR(C15&gt;Cuts!$C$16, D15&gt;Cuts!$C$16),1,0)</f>
        <v>0</v>
      </c>
      <c r="AA15" s="143">
        <f t="shared" si="3"/>
        <v>0</v>
      </c>
    </row>
    <row r="16" spans="1:28" ht="30">
      <c r="A16" s="66">
        <f t="shared" si="4"/>
        <v>5</v>
      </c>
      <c r="B16" s="159" t="s">
        <v>78</v>
      </c>
      <c r="C16" s="257">
        <v>204</v>
      </c>
      <c r="D16" s="54">
        <v>204</v>
      </c>
      <c r="E16" s="233">
        <v>0.89</v>
      </c>
      <c r="F16" s="71">
        <v>0.89</v>
      </c>
      <c r="G16" s="71">
        <v>0.89</v>
      </c>
      <c r="H16" s="71">
        <v>0.9</v>
      </c>
      <c r="I16" s="71">
        <v>0.9</v>
      </c>
      <c r="J16" s="234">
        <v>0.91</v>
      </c>
      <c r="K16" s="72">
        <v>25.94</v>
      </c>
      <c r="L16" s="73">
        <v>26.02</v>
      </c>
      <c r="M16" s="275"/>
      <c r="N16" s="177"/>
      <c r="O16" s="177"/>
      <c r="P16" s="178"/>
      <c r="Q16" s="276"/>
      <c r="R16" s="145">
        <v>63.9</v>
      </c>
      <c r="S16" s="64">
        <f t="shared" si="0"/>
        <v>13.44622947524606</v>
      </c>
      <c r="T16" s="140">
        <v>3</v>
      </c>
      <c r="V16" s="143">
        <f t="shared" si="5"/>
        <v>5</v>
      </c>
      <c r="W16" s="143">
        <f t="shared" si="2"/>
        <v>2.0000000000000018E-2</v>
      </c>
      <c r="X16" s="143">
        <f t="shared" si="1"/>
        <v>0</v>
      </c>
      <c r="Y16" s="143">
        <f>IF(OR(K16&gt;Cuts!$B$16, L16&gt;Cuts!B$16), 1,0)</f>
        <v>0</v>
      </c>
      <c r="Z16" s="246">
        <f>IF(OR(C16&gt;Cuts!$C$16, D16&gt;Cuts!$C$16),1,0)</f>
        <v>0</v>
      </c>
      <c r="AA16" s="143">
        <f t="shared" si="3"/>
        <v>0</v>
      </c>
    </row>
    <row r="17" spans="1:28">
      <c r="A17" s="66">
        <f t="shared" si="4"/>
        <v>6</v>
      </c>
      <c r="B17" s="159"/>
      <c r="C17" s="257">
        <v>204</v>
      </c>
      <c r="D17" s="54">
        <v>204</v>
      </c>
      <c r="E17" s="233">
        <v>0.91</v>
      </c>
      <c r="F17" s="71">
        <v>0.9</v>
      </c>
      <c r="G17" s="71">
        <v>0.91</v>
      </c>
      <c r="H17" s="71">
        <v>0.91</v>
      </c>
      <c r="I17" s="71">
        <v>0.91</v>
      </c>
      <c r="J17" s="234">
        <v>0.91</v>
      </c>
      <c r="K17" s="72">
        <v>25.83</v>
      </c>
      <c r="L17" s="73">
        <v>25.9</v>
      </c>
      <c r="M17" s="275"/>
      <c r="N17" s="177"/>
      <c r="O17" s="177"/>
      <c r="P17" s="178"/>
      <c r="Q17" s="276"/>
      <c r="R17" s="145">
        <v>65.599999999999994</v>
      </c>
      <c r="S17" s="64">
        <f t="shared" si="0"/>
        <v>13.687241727642876</v>
      </c>
      <c r="T17" s="140">
        <v>3</v>
      </c>
      <c r="V17" s="143">
        <f t="shared" si="5"/>
        <v>6</v>
      </c>
      <c r="W17" s="143">
        <f t="shared" si="2"/>
        <v>1.0000000000000009E-2</v>
      </c>
      <c r="X17" s="143">
        <f t="shared" si="1"/>
        <v>0</v>
      </c>
      <c r="Y17" s="143">
        <f>IF(OR(K17&gt;Cuts!$B$16, L17&gt;Cuts!B$16), 1,0)</f>
        <v>0</v>
      </c>
      <c r="Z17" s="246">
        <f>IF(OR(C17&gt;Cuts!$C$16, D17&gt;Cuts!$C$16),1,0)</f>
        <v>0</v>
      </c>
      <c r="AA17" s="143">
        <f t="shared" si="3"/>
        <v>0</v>
      </c>
    </row>
    <row r="18" spans="1:28">
      <c r="A18" s="66">
        <f t="shared" si="4"/>
        <v>7</v>
      </c>
      <c r="B18" s="159"/>
      <c r="C18" s="257">
        <v>204</v>
      </c>
      <c r="D18" s="54">
        <v>204</v>
      </c>
      <c r="E18" s="233">
        <v>0.88</v>
      </c>
      <c r="F18" s="71">
        <v>0.88</v>
      </c>
      <c r="G18" s="71">
        <v>0.88</v>
      </c>
      <c r="H18" s="71">
        <v>0.88</v>
      </c>
      <c r="I18" s="71">
        <v>0.89</v>
      </c>
      <c r="J18" s="234">
        <v>0.89</v>
      </c>
      <c r="K18" s="72">
        <v>26.02</v>
      </c>
      <c r="L18" s="73">
        <v>26.05</v>
      </c>
      <c r="M18" s="275"/>
      <c r="N18" s="177"/>
      <c r="O18" s="177"/>
      <c r="P18" s="178"/>
      <c r="Q18" s="276"/>
      <c r="R18" s="145">
        <v>64.599999999999994</v>
      </c>
      <c r="S18" s="64">
        <f t="shared" si="0"/>
        <v>13.769562743911498</v>
      </c>
      <c r="T18" s="140">
        <v>3</v>
      </c>
      <c r="V18" s="143">
        <f t="shared" si="5"/>
        <v>7</v>
      </c>
      <c r="W18" s="143">
        <f t="shared" si="2"/>
        <v>1.0000000000000009E-2</v>
      </c>
      <c r="X18" s="143">
        <f t="shared" si="1"/>
        <v>0</v>
      </c>
      <c r="Y18" s="143">
        <f>IF(OR(K18&gt;Cuts!$B$16, L18&gt;Cuts!B$16), 1,0)</f>
        <v>0</v>
      </c>
      <c r="Z18" s="246">
        <f>IF(OR(C18&gt;Cuts!$C$16, D18&gt;Cuts!$C$16),1,0)</f>
        <v>0</v>
      </c>
      <c r="AA18" s="143">
        <f t="shared" si="3"/>
        <v>0</v>
      </c>
    </row>
    <row r="19" spans="1:28">
      <c r="A19" s="66">
        <f t="shared" si="4"/>
        <v>8</v>
      </c>
      <c r="B19" s="159"/>
      <c r="C19" s="257">
        <v>204</v>
      </c>
      <c r="D19" s="54">
        <v>204</v>
      </c>
      <c r="E19" s="233">
        <v>0.91</v>
      </c>
      <c r="F19" s="71">
        <v>0.91</v>
      </c>
      <c r="G19" s="71">
        <v>0.9</v>
      </c>
      <c r="H19" s="71">
        <v>0.91</v>
      </c>
      <c r="I19" s="71">
        <v>0.9</v>
      </c>
      <c r="J19" s="234">
        <v>0.91</v>
      </c>
      <c r="K19" s="72">
        <v>25.98</v>
      </c>
      <c r="L19" s="73">
        <v>25.48</v>
      </c>
      <c r="M19" s="275"/>
      <c r="N19" s="177"/>
      <c r="O19" s="177"/>
      <c r="P19" s="178"/>
      <c r="Q19" s="274" t="s">
        <v>94</v>
      </c>
      <c r="R19" s="145">
        <v>66.2</v>
      </c>
      <c r="S19" s="64">
        <f t="shared" si="0"/>
        <v>13.9104245982703</v>
      </c>
      <c r="T19" s="140">
        <v>3</v>
      </c>
      <c r="V19" s="143">
        <f t="shared" si="5"/>
        <v>8</v>
      </c>
      <c r="W19" s="143">
        <f t="shared" si="2"/>
        <v>1.0000000000000009E-2</v>
      </c>
      <c r="X19" s="143">
        <f t="shared" si="1"/>
        <v>0</v>
      </c>
      <c r="Y19" s="143">
        <f>IF(OR(K19&gt;Cuts!$B$16, L19&gt;Cuts!B$16), 1,0)</f>
        <v>0</v>
      </c>
      <c r="Z19" s="246">
        <f>IF(OR(C19&gt;Cuts!$C$16, D19&gt;Cuts!$C$16),1,0)</f>
        <v>0</v>
      </c>
      <c r="AA19" s="143">
        <f t="shared" si="3"/>
        <v>0</v>
      </c>
    </row>
    <row r="20" spans="1:28">
      <c r="A20" s="66">
        <f t="shared" si="4"/>
        <v>9</v>
      </c>
      <c r="B20" s="159"/>
      <c r="C20" s="257">
        <v>204</v>
      </c>
      <c r="D20" s="54">
        <v>204</v>
      </c>
      <c r="E20" s="233">
        <v>0.93</v>
      </c>
      <c r="F20" s="71">
        <v>0.92</v>
      </c>
      <c r="G20" s="71">
        <v>0.92</v>
      </c>
      <c r="H20" s="71">
        <v>0.91</v>
      </c>
      <c r="I20" s="71">
        <v>0.91</v>
      </c>
      <c r="J20" s="234">
        <v>0.91</v>
      </c>
      <c r="K20" s="72">
        <v>26.05</v>
      </c>
      <c r="L20" s="73">
        <v>25.84</v>
      </c>
      <c r="M20" s="275"/>
      <c r="N20" s="177"/>
      <c r="O20" s="177"/>
      <c r="P20" s="178"/>
      <c r="Q20" s="276"/>
      <c r="R20" s="145">
        <v>65.8</v>
      </c>
      <c r="S20" s="64">
        <f t="shared" si="0"/>
        <v>13.562214598343058</v>
      </c>
      <c r="T20" s="140">
        <v>3</v>
      </c>
      <c r="V20" s="143">
        <f t="shared" si="5"/>
        <v>9</v>
      </c>
      <c r="W20" s="143">
        <f t="shared" si="2"/>
        <v>2.0000000000000018E-2</v>
      </c>
      <c r="X20" s="143">
        <f t="shared" si="1"/>
        <v>0</v>
      </c>
      <c r="Y20" s="143">
        <f>IF(OR(K20&gt;Cuts!$B$16, L20&gt;Cuts!B$16), 1,0)</f>
        <v>0</v>
      </c>
      <c r="Z20" s="246">
        <f>IF(OR(C20&gt;Cuts!$C$16, D20&gt;Cuts!$C$16),1,0)</f>
        <v>0</v>
      </c>
      <c r="AA20" s="143">
        <f t="shared" si="3"/>
        <v>0</v>
      </c>
    </row>
    <row r="21" spans="1:28">
      <c r="A21" s="66">
        <f t="shared" si="4"/>
        <v>10</v>
      </c>
      <c r="B21" s="159"/>
      <c r="C21" s="257">
        <v>204</v>
      </c>
      <c r="D21" s="54">
        <v>204</v>
      </c>
      <c r="E21" s="233">
        <v>0.89</v>
      </c>
      <c r="F21" s="71">
        <v>0.89</v>
      </c>
      <c r="G21" s="71">
        <v>0.89</v>
      </c>
      <c r="H21" s="71">
        <v>0.89</v>
      </c>
      <c r="I21" s="71">
        <v>0.89</v>
      </c>
      <c r="J21" s="234">
        <v>0.89</v>
      </c>
      <c r="K21" s="72">
        <v>25.87</v>
      </c>
      <c r="L21" s="73">
        <v>25.93</v>
      </c>
      <c r="M21" s="275"/>
      <c r="N21" s="177"/>
      <c r="O21" s="177"/>
      <c r="P21" s="178"/>
      <c r="Q21" s="274" t="s">
        <v>93</v>
      </c>
      <c r="R21" s="145">
        <v>63.1</v>
      </c>
      <c r="S21" s="64">
        <f t="shared" si="0"/>
        <v>13.418668408754332</v>
      </c>
      <c r="T21" s="140">
        <v>3</v>
      </c>
      <c r="V21" s="143">
        <f t="shared" si="5"/>
        <v>10</v>
      </c>
      <c r="W21" s="143">
        <f t="shared" si="2"/>
        <v>0</v>
      </c>
      <c r="X21" s="143">
        <f t="shared" si="1"/>
        <v>0</v>
      </c>
      <c r="Y21" s="143">
        <f>IF(OR(K21&gt;Cuts!$B$16, L21&gt;Cuts!B$16), 1,0)</f>
        <v>0</v>
      </c>
      <c r="Z21" s="246">
        <f>IF(OR(C21&gt;Cuts!$C$16, D21&gt;Cuts!$C$16),1,0)</f>
        <v>0</v>
      </c>
      <c r="AA21" s="143">
        <f t="shared" si="3"/>
        <v>0</v>
      </c>
    </row>
    <row r="22" spans="1:28" ht="30">
      <c r="A22" s="171">
        <f t="shared" si="4"/>
        <v>11</v>
      </c>
      <c r="B22" s="159"/>
      <c r="C22" s="257">
        <v>204</v>
      </c>
      <c r="D22" s="54">
        <v>204</v>
      </c>
      <c r="E22" s="233">
        <v>0.9</v>
      </c>
      <c r="F22" s="71">
        <v>0.92</v>
      </c>
      <c r="G22" s="71">
        <v>0.9</v>
      </c>
      <c r="H22" s="71">
        <v>0.91</v>
      </c>
      <c r="I22" s="71">
        <v>0.91</v>
      </c>
      <c r="J22" s="234">
        <v>0.91</v>
      </c>
      <c r="K22" s="72">
        <v>25.87</v>
      </c>
      <c r="L22" s="73">
        <v>25.94</v>
      </c>
      <c r="M22" s="275"/>
      <c r="N22" s="177"/>
      <c r="O22" s="177"/>
      <c r="P22" s="178"/>
      <c r="Q22" s="276" t="s">
        <v>92</v>
      </c>
      <c r="R22" s="145">
        <v>66.099999999999994</v>
      </c>
      <c r="S22" s="64">
        <f t="shared" si="0"/>
        <v>13.77026961292105</v>
      </c>
      <c r="T22" s="140">
        <v>3</v>
      </c>
      <c r="V22" s="265">
        <f t="shared" si="5"/>
        <v>11</v>
      </c>
      <c r="W22" s="143">
        <f t="shared" si="2"/>
        <v>2.0000000000000018E-2</v>
      </c>
      <c r="X22" s="143">
        <f t="shared" si="1"/>
        <v>0</v>
      </c>
      <c r="Y22" s="143">
        <f>IF(OR(K22&gt;Cuts!$B$16, L22&gt;Cuts!B$16), 1,0)</f>
        <v>0</v>
      </c>
      <c r="Z22" s="246">
        <f>IF(OR(C22&gt;Cuts!$C$16, D22&gt;Cuts!$C$16),1,0)</f>
        <v>0</v>
      </c>
      <c r="AA22" s="143">
        <f t="shared" si="3"/>
        <v>0</v>
      </c>
      <c r="AB22" t="s">
        <v>69</v>
      </c>
    </row>
    <row r="23" spans="1:28" ht="30">
      <c r="A23" s="66">
        <f t="shared" si="4"/>
        <v>12</v>
      </c>
      <c r="B23" s="159" t="s">
        <v>79</v>
      </c>
      <c r="C23" s="257">
        <v>204</v>
      </c>
      <c r="D23" s="54">
        <v>204</v>
      </c>
      <c r="E23" s="233">
        <v>0.86</v>
      </c>
      <c r="F23" s="71">
        <v>0.87</v>
      </c>
      <c r="G23" s="71">
        <v>0.87</v>
      </c>
      <c r="H23" s="71">
        <v>0.88</v>
      </c>
      <c r="I23" s="71">
        <v>0.87</v>
      </c>
      <c r="J23" s="234">
        <v>0.89</v>
      </c>
      <c r="K23" s="72">
        <v>25.7</v>
      </c>
      <c r="L23" s="73">
        <v>25.89</v>
      </c>
      <c r="M23" s="275"/>
      <c r="N23" s="177"/>
      <c r="O23" s="177"/>
      <c r="P23" s="178"/>
      <c r="Q23" s="276"/>
      <c r="R23" s="145">
        <v>63.9</v>
      </c>
      <c r="S23" s="64">
        <f t="shared" si="0"/>
        <v>13.90449185153258</v>
      </c>
      <c r="T23" s="140">
        <v>3</v>
      </c>
      <c r="V23" s="143">
        <f t="shared" si="5"/>
        <v>12</v>
      </c>
      <c r="W23" s="143">
        <f t="shared" si="2"/>
        <v>3.0000000000000027E-2</v>
      </c>
      <c r="X23" s="143">
        <f t="shared" si="1"/>
        <v>0</v>
      </c>
      <c r="Y23" s="143">
        <f>IF(OR(K23&gt;Cuts!$B$16, L23&gt;Cuts!B$16), 1,0)</f>
        <v>0</v>
      </c>
      <c r="Z23" s="246">
        <f>IF(OR(C23&gt;Cuts!$C$16, D23&gt;Cuts!$C$16),1,0)</f>
        <v>0</v>
      </c>
      <c r="AA23" s="143">
        <f t="shared" si="3"/>
        <v>0</v>
      </c>
    </row>
    <row r="24" spans="1:28">
      <c r="A24" s="66">
        <f t="shared" si="4"/>
        <v>13</v>
      </c>
      <c r="B24" s="159"/>
      <c r="C24" s="257">
        <v>204</v>
      </c>
      <c r="D24" s="54">
        <v>204</v>
      </c>
      <c r="E24" s="233">
        <v>0.88</v>
      </c>
      <c r="F24" s="71">
        <v>0.87</v>
      </c>
      <c r="G24" s="71">
        <v>0.88</v>
      </c>
      <c r="H24" s="71">
        <v>0.88</v>
      </c>
      <c r="I24" s="71">
        <v>0.89</v>
      </c>
      <c r="J24" s="234">
        <v>0.88</v>
      </c>
      <c r="K24" s="72">
        <v>26.07</v>
      </c>
      <c r="L24" s="73">
        <v>26.05</v>
      </c>
      <c r="M24" s="275"/>
      <c r="N24" s="177"/>
      <c r="O24" s="177"/>
      <c r="P24" s="178"/>
      <c r="Q24" s="276"/>
      <c r="R24" s="145">
        <v>64.099999999999994</v>
      </c>
      <c r="S24" s="64">
        <f t="shared" si="0"/>
        <v>13.701584031365982</v>
      </c>
      <c r="T24" s="140">
        <v>3</v>
      </c>
      <c r="V24" s="143">
        <f t="shared" si="5"/>
        <v>13</v>
      </c>
      <c r="W24" s="143">
        <f t="shared" si="2"/>
        <v>2.0000000000000018E-2</v>
      </c>
      <c r="X24" s="143">
        <f t="shared" si="1"/>
        <v>0</v>
      </c>
      <c r="Y24" s="143">
        <f>IF(OR(K24&gt;Cuts!$B$16, L24&gt;Cuts!B$16), 1,0)</f>
        <v>0</v>
      </c>
      <c r="Z24" s="246">
        <f>IF(OR(C24&gt;Cuts!$C$16, D24&gt;Cuts!$C$16),1,0)</f>
        <v>0</v>
      </c>
      <c r="AA24" s="143">
        <f t="shared" si="3"/>
        <v>0</v>
      </c>
    </row>
    <row r="25" spans="1:28">
      <c r="A25" s="66">
        <f t="shared" si="4"/>
        <v>14</v>
      </c>
      <c r="B25" s="159"/>
      <c r="C25" s="257">
        <v>204</v>
      </c>
      <c r="D25" s="54">
        <v>204</v>
      </c>
      <c r="E25" s="233">
        <v>0.88</v>
      </c>
      <c r="F25" s="71">
        <v>0.89</v>
      </c>
      <c r="G25" s="71">
        <v>0.88</v>
      </c>
      <c r="H25" s="71">
        <v>0.89</v>
      </c>
      <c r="I25" s="71">
        <v>0.88</v>
      </c>
      <c r="J25" s="234">
        <v>0.89</v>
      </c>
      <c r="K25" s="72">
        <v>25.61</v>
      </c>
      <c r="L25" s="73">
        <v>25.96</v>
      </c>
      <c r="M25" s="275"/>
      <c r="N25" s="177"/>
      <c r="O25" s="177"/>
      <c r="P25" s="178"/>
      <c r="Q25" s="276"/>
      <c r="R25" s="145">
        <v>64.400000000000006</v>
      </c>
      <c r="S25" s="64">
        <f t="shared" si="0"/>
        <v>13.83392107090703</v>
      </c>
      <c r="T25" s="140">
        <v>3</v>
      </c>
      <c r="V25" s="143">
        <f t="shared" si="5"/>
        <v>14</v>
      </c>
      <c r="W25" s="143">
        <f t="shared" si="2"/>
        <v>1.0000000000000009E-2</v>
      </c>
      <c r="X25" s="143">
        <f t="shared" si="1"/>
        <v>0</v>
      </c>
      <c r="Y25" s="143">
        <f>IF(OR(K25&gt;Cuts!$B$16, L25&gt;Cuts!B$16), 1,0)</f>
        <v>0</v>
      </c>
      <c r="Z25" s="246">
        <f>IF(OR(C25&gt;Cuts!$C$16, D25&gt;Cuts!$C$16),1,0)</f>
        <v>0</v>
      </c>
      <c r="AA25" s="143">
        <f t="shared" si="3"/>
        <v>0</v>
      </c>
    </row>
    <row r="26" spans="1:28">
      <c r="A26" s="66">
        <f t="shared" si="4"/>
        <v>15</v>
      </c>
      <c r="B26" s="159"/>
      <c r="C26" s="257">
        <v>204</v>
      </c>
      <c r="D26" s="54">
        <v>204</v>
      </c>
      <c r="E26" s="233">
        <v>0.88</v>
      </c>
      <c r="F26" s="71">
        <v>0.9</v>
      </c>
      <c r="G26" s="71">
        <v>0.89</v>
      </c>
      <c r="H26" s="71">
        <v>0.9</v>
      </c>
      <c r="I26" s="71">
        <v>0.89</v>
      </c>
      <c r="J26" s="234">
        <v>0.91</v>
      </c>
      <c r="K26" s="72">
        <v>25.96</v>
      </c>
      <c r="L26" s="73">
        <v>26</v>
      </c>
      <c r="M26" s="275"/>
      <c r="N26" s="177"/>
      <c r="O26" s="177"/>
      <c r="P26" s="178"/>
      <c r="Q26" s="274" t="s">
        <v>93</v>
      </c>
      <c r="R26" s="145">
        <v>65.900000000000006</v>
      </c>
      <c r="S26" s="64">
        <f t="shared" si="0"/>
        <v>13.89290497143374</v>
      </c>
      <c r="T26" s="140">
        <v>3</v>
      </c>
      <c r="V26" s="143">
        <f t="shared" si="5"/>
        <v>15</v>
      </c>
      <c r="W26" s="143">
        <f t="shared" si="2"/>
        <v>3.0000000000000027E-2</v>
      </c>
      <c r="X26" s="143">
        <f t="shared" si="1"/>
        <v>0</v>
      </c>
      <c r="Y26" s="143">
        <f>IF(OR(K26&gt;Cuts!$B$16, L26&gt;Cuts!B$16), 1,0)</f>
        <v>0</v>
      </c>
      <c r="Z26" s="246">
        <f>IF(OR(C26&gt;Cuts!$C$16, D26&gt;Cuts!$C$16),1,0)</f>
        <v>0</v>
      </c>
      <c r="AA26" s="143">
        <f t="shared" si="3"/>
        <v>0</v>
      </c>
    </row>
    <row r="27" spans="1:28">
      <c r="A27" s="66">
        <f t="shared" si="4"/>
        <v>16</v>
      </c>
      <c r="B27" s="159"/>
      <c r="C27" s="257">
        <v>204</v>
      </c>
      <c r="D27" s="54">
        <v>204</v>
      </c>
      <c r="E27" s="233">
        <v>0.86</v>
      </c>
      <c r="F27" s="71">
        <v>0.87</v>
      </c>
      <c r="G27" s="71">
        <v>0.87</v>
      </c>
      <c r="H27" s="71">
        <v>0.87</v>
      </c>
      <c r="I27" s="71">
        <v>0.86</v>
      </c>
      <c r="J27" s="234">
        <v>0.87</v>
      </c>
      <c r="K27" s="72">
        <v>25.77</v>
      </c>
      <c r="L27" s="73">
        <v>25.77</v>
      </c>
      <c r="M27" s="275"/>
      <c r="N27" s="177"/>
      <c r="O27" s="177"/>
      <c r="P27" s="178"/>
      <c r="Q27" s="274" t="s">
        <v>93</v>
      </c>
      <c r="R27" s="145">
        <v>62.3</v>
      </c>
      <c r="S27" s="64">
        <f t="shared" si="0"/>
        <v>13.673867505272009</v>
      </c>
      <c r="T27" s="140">
        <v>3</v>
      </c>
      <c r="V27" s="143">
        <f t="shared" si="5"/>
        <v>16</v>
      </c>
      <c r="W27" s="143">
        <f t="shared" si="2"/>
        <v>1.0000000000000009E-2</v>
      </c>
      <c r="X27" s="143">
        <f t="shared" si="1"/>
        <v>0</v>
      </c>
      <c r="Y27" s="143">
        <f>IF(OR(K27&gt;Cuts!$B$16, L27&gt;Cuts!B$16), 1,0)</f>
        <v>0</v>
      </c>
      <c r="Z27" s="246">
        <f>IF(OR(C27&gt;Cuts!$C$16, D27&gt;Cuts!$C$16),1,0)</f>
        <v>0</v>
      </c>
      <c r="AA27" s="143">
        <f t="shared" si="3"/>
        <v>0</v>
      </c>
    </row>
    <row r="28" spans="1:28">
      <c r="A28" s="66">
        <f t="shared" si="4"/>
        <v>17</v>
      </c>
      <c r="B28" s="159"/>
      <c r="C28" s="257">
        <v>204</v>
      </c>
      <c r="D28" s="54">
        <v>204</v>
      </c>
      <c r="E28" s="233">
        <v>0.89</v>
      </c>
      <c r="F28" s="71">
        <v>0.89</v>
      </c>
      <c r="G28" s="71">
        <v>0.89</v>
      </c>
      <c r="H28" s="71">
        <v>0.89</v>
      </c>
      <c r="I28" s="71">
        <v>0.89</v>
      </c>
      <c r="J28" s="234">
        <v>0.89</v>
      </c>
      <c r="K28" s="72">
        <v>25.93</v>
      </c>
      <c r="L28" s="73">
        <v>25.72</v>
      </c>
      <c r="M28" s="275"/>
      <c r="N28" s="177"/>
      <c r="O28" s="177"/>
      <c r="P28" s="178"/>
      <c r="Q28" s="274" t="s">
        <v>93</v>
      </c>
      <c r="R28" s="145">
        <v>63.9</v>
      </c>
      <c r="S28" s="64">
        <f t="shared" si="0"/>
        <v>13.628258225421627</v>
      </c>
      <c r="T28" s="140">
        <v>3</v>
      </c>
      <c r="V28" s="143">
        <f t="shared" si="5"/>
        <v>17</v>
      </c>
      <c r="W28" s="143">
        <f t="shared" si="2"/>
        <v>0</v>
      </c>
      <c r="X28" s="143">
        <f t="shared" si="1"/>
        <v>0</v>
      </c>
      <c r="Y28" s="143">
        <f>IF(OR(K28&gt;Cuts!$B$16, L28&gt;Cuts!B$16), 1,0)</f>
        <v>0</v>
      </c>
      <c r="Z28" s="246">
        <f>IF(OR(C28&gt;Cuts!$C$16, D28&gt;Cuts!$C$16),1,0)</f>
        <v>0</v>
      </c>
      <c r="AA28" s="143">
        <f t="shared" si="3"/>
        <v>0</v>
      </c>
    </row>
    <row r="29" spans="1:28">
      <c r="A29" s="66">
        <f t="shared" si="4"/>
        <v>18</v>
      </c>
      <c r="B29" s="159"/>
      <c r="C29" s="257">
        <v>204</v>
      </c>
      <c r="D29" s="54">
        <v>204</v>
      </c>
      <c r="E29" s="233">
        <v>0.89</v>
      </c>
      <c r="F29" s="71">
        <v>0.88</v>
      </c>
      <c r="G29" s="71">
        <v>0.89</v>
      </c>
      <c r="H29" s="71">
        <v>0.88</v>
      </c>
      <c r="I29" s="71">
        <v>0.88</v>
      </c>
      <c r="J29" s="234">
        <v>0.88</v>
      </c>
      <c r="K29" s="72">
        <v>25.94</v>
      </c>
      <c r="L29" s="73">
        <v>25.59</v>
      </c>
      <c r="M29" s="277"/>
      <c r="N29" s="180"/>
      <c r="O29" s="180"/>
      <c r="P29" s="178"/>
      <c r="Q29" s="276"/>
      <c r="R29" s="145">
        <v>64.8</v>
      </c>
      <c r="S29" s="64">
        <f t="shared" si="0"/>
        <v>13.95693553080401</v>
      </c>
      <c r="T29" s="140">
        <v>3</v>
      </c>
      <c r="V29" s="143">
        <f t="shared" si="5"/>
        <v>18</v>
      </c>
      <c r="W29" s="143">
        <f t="shared" si="2"/>
        <v>1.0000000000000009E-2</v>
      </c>
      <c r="X29" s="143">
        <f t="shared" si="1"/>
        <v>0</v>
      </c>
      <c r="Y29" s="143">
        <f>IF(OR(K29&gt;Cuts!$B$16, L29&gt;Cuts!B$16), 1,0)</f>
        <v>0</v>
      </c>
      <c r="Z29" s="246">
        <f>IF(OR(C29&gt;Cuts!$C$16, D29&gt;Cuts!$C$16),1,0)</f>
        <v>0</v>
      </c>
      <c r="AA29" s="143">
        <f t="shared" si="3"/>
        <v>0</v>
      </c>
    </row>
    <row r="30" spans="1:28">
      <c r="A30" s="66">
        <f t="shared" si="4"/>
        <v>19</v>
      </c>
      <c r="B30" s="159"/>
      <c r="C30" s="257">
        <v>204</v>
      </c>
      <c r="D30" s="54">
        <v>204</v>
      </c>
      <c r="E30" s="233">
        <v>0.9</v>
      </c>
      <c r="F30" s="71">
        <v>0.88</v>
      </c>
      <c r="G30" s="71">
        <v>0.88</v>
      </c>
      <c r="H30" s="71">
        <v>0.88</v>
      </c>
      <c r="I30" s="71">
        <v>0.88</v>
      </c>
      <c r="J30" s="234">
        <v>0.88</v>
      </c>
      <c r="K30" s="72">
        <v>25.98</v>
      </c>
      <c r="L30" s="73">
        <v>25.93</v>
      </c>
      <c r="M30" s="277"/>
      <c r="N30" s="180"/>
      <c r="O30" s="180"/>
      <c r="P30" s="178"/>
      <c r="Q30" s="274" t="s">
        <v>93</v>
      </c>
      <c r="R30" s="145">
        <v>63.9</v>
      </c>
      <c r="S30" s="64">
        <f t="shared" si="0"/>
        <v>13.662338406500965</v>
      </c>
      <c r="T30" s="140">
        <v>3</v>
      </c>
      <c r="V30" s="143">
        <f t="shared" si="5"/>
        <v>19</v>
      </c>
      <c r="W30" s="143">
        <f t="shared" si="2"/>
        <v>2.0000000000000018E-2</v>
      </c>
      <c r="X30" s="143">
        <f t="shared" si="1"/>
        <v>0</v>
      </c>
      <c r="Y30" s="143">
        <f>IF(OR(K30&gt;Cuts!$B$16, L30&gt;Cuts!B$16), 1,0)</f>
        <v>0</v>
      </c>
      <c r="Z30" s="246">
        <f>IF(OR(C30&gt;Cuts!$C$16, D30&gt;Cuts!$C$16),1,0)</f>
        <v>0</v>
      </c>
      <c r="AA30" s="143">
        <f t="shared" si="3"/>
        <v>0</v>
      </c>
    </row>
    <row r="31" spans="1:28">
      <c r="A31" s="66">
        <f t="shared" si="4"/>
        <v>20</v>
      </c>
      <c r="B31" s="140"/>
      <c r="C31" s="257">
        <v>204</v>
      </c>
      <c r="D31" s="54">
        <v>204</v>
      </c>
      <c r="E31" s="235">
        <v>0.91</v>
      </c>
      <c r="F31" s="107">
        <v>0.91</v>
      </c>
      <c r="G31" s="107">
        <v>0.91</v>
      </c>
      <c r="H31" s="107">
        <v>0.91</v>
      </c>
      <c r="I31" s="107">
        <v>0.9</v>
      </c>
      <c r="J31" s="260">
        <v>0.91</v>
      </c>
      <c r="K31" s="72">
        <v>26.05</v>
      </c>
      <c r="L31" s="73">
        <v>26</v>
      </c>
      <c r="M31" s="277"/>
      <c r="N31" s="180"/>
      <c r="O31" s="180"/>
      <c r="P31" s="178"/>
      <c r="Q31" s="276"/>
      <c r="R31" s="145">
        <v>66.8</v>
      </c>
      <c r="S31" s="64">
        <f t="shared" si="0"/>
        <v>13.851930535056738</v>
      </c>
      <c r="T31" s="140">
        <v>3</v>
      </c>
      <c r="V31" s="143">
        <f t="shared" si="5"/>
        <v>20</v>
      </c>
      <c r="W31" s="143">
        <f t="shared" si="2"/>
        <v>1.0000000000000009E-2</v>
      </c>
      <c r="X31" s="143">
        <f t="shared" si="1"/>
        <v>0</v>
      </c>
      <c r="Y31" s="143">
        <f>IF(OR(K31&gt;Cuts!$B$16, L31&gt;Cuts!B$16), 1,0)</f>
        <v>0</v>
      </c>
      <c r="Z31" s="246">
        <f>IF(OR(C31&gt;Cuts!$C$16, D31&gt;Cuts!$C$16),1,0)</f>
        <v>0</v>
      </c>
      <c r="AA31" s="143">
        <f t="shared" si="3"/>
        <v>0</v>
      </c>
    </row>
    <row r="32" spans="1:28">
      <c r="A32" s="66">
        <f t="shared" si="4"/>
        <v>21</v>
      </c>
      <c r="B32" s="140"/>
      <c r="C32" s="257">
        <v>204</v>
      </c>
      <c r="D32" s="54">
        <v>204</v>
      </c>
      <c r="E32" s="235">
        <v>0.88</v>
      </c>
      <c r="F32" s="107">
        <v>0.9</v>
      </c>
      <c r="G32" s="107">
        <v>0.88</v>
      </c>
      <c r="H32" s="107">
        <v>0.9</v>
      </c>
      <c r="I32" s="107">
        <v>0.88</v>
      </c>
      <c r="J32" s="260">
        <v>0.9</v>
      </c>
      <c r="K32" s="72">
        <v>25.93</v>
      </c>
      <c r="L32" s="73">
        <v>26.11</v>
      </c>
      <c r="M32" s="277"/>
      <c r="N32" s="180"/>
      <c r="O32" s="180"/>
      <c r="P32" s="178"/>
      <c r="Q32" s="274" t="s">
        <v>93</v>
      </c>
      <c r="R32" s="145">
        <v>65.5</v>
      </c>
      <c r="S32" s="64">
        <f t="shared" si="0"/>
        <v>13.864807165298473</v>
      </c>
      <c r="T32" s="140">
        <v>3</v>
      </c>
      <c r="V32" s="143">
        <f t="shared" si="5"/>
        <v>21</v>
      </c>
      <c r="W32" s="143">
        <f t="shared" si="2"/>
        <v>2.0000000000000018E-2</v>
      </c>
      <c r="X32" s="143">
        <f t="shared" si="1"/>
        <v>0</v>
      </c>
      <c r="Y32" s="143">
        <f>IF(OR(K32&gt;Cuts!$B$16, L32&gt;Cuts!B$16), 1,0)</f>
        <v>0</v>
      </c>
      <c r="Z32" s="246">
        <f>IF(OR(C32&gt;Cuts!$C$16, D32&gt;Cuts!$C$16),1,0)</f>
        <v>0</v>
      </c>
      <c r="AA32" s="143">
        <f t="shared" si="3"/>
        <v>0</v>
      </c>
    </row>
    <row r="33" spans="1:28">
      <c r="A33" s="66">
        <f t="shared" si="4"/>
        <v>22</v>
      </c>
      <c r="B33" s="140"/>
      <c r="C33" s="257">
        <v>204</v>
      </c>
      <c r="D33" s="54">
        <v>204</v>
      </c>
      <c r="E33" s="235">
        <v>0.9</v>
      </c>
      <c r="F33" s="107">
        <v>0.9</v>
      </c>
      <c r="G33" s="107">
        <v>0.9</v>
      </c>
      <c r="H33" s="107">
        <v>0.9</v>
      </c>
      <c r="I33" s="107">
        <v>0.91</v>
      </c>
      <c r="J33" s="260">
        <v>0.92</v>
      </c>
      <c r="K33" s="72">
        <v>26.07</v>
      </c>
      <c r="L33" s="73">
        <v>26.04</v>
      </c>
      <c r="M33" s="277" t="s">
        <v>89</v>
      </c>
      <c r="N33" s="180"/>
      <c r="O33" s="180"/>
      <c r="P33" s="178"/>
      <c r="Q33" s="274" t="s">
        <v>94</v>
      </c>
      <c r="R33" s="145">
        <v>67</v>
      </c>
      <c r="S33" s="64">
        <f t="shared" si="0"/>
        <v>13.928520206364125</v>
      </c>
      <c r="T33" s="140">
        <v>3</v>
      </c>
      <c r="V33" s="143">
        <f t="shared" si="5"/>
        <v>22</v>
      </c>
      <c r="W33" s="143">
        <f t="shared" si="2"/>
        <v>2.0000000000000018E-2</v>
      </c>
      <c r="X33" s="143">
        <f t="shared" si="1"/>
        <v>0</v>
      </c>
      <c r="Y33" s="143">
        <f>IF(OR(K33&gt;Cuts!$B$16, L33&gt;Cuts!B$16), 1,0)</f>
        <v>0</v>
      </c>
      <c r="Z33" s="246">
        <f>IF(OR(C33&gt;Cuts!$C$16, D33&gt;Cuts!$C$16),1,0)</f>
        <v>0</v>
      </c>
      <c r="AA33" s="143">
        <f t="shared" si="3"/>
        <v>0</v>
      </c>
    </row>
    <row r="34" spans="1:28">
      <c r="A34" s="66">
        <f t="shared" si="4"/>
        <v>23</v>
      </c>
      <c r="B34" s="140"/>
      <c r="C34" s="257">
        <v>204</v>
      </c>
      <c r="D34" s="54">
        <v>204</v>
      </c>
      <c r="E34" s="235">
        <v>0.88</v>
      </c>
      <c r="F34" s="107">
        <v>0.86</v>
      </c>
      <c r="G34" s="107">
        <v>0.88</v>
      </c>
      <c r="H34" s="107">
        <v>0.86</v>
      </c>
      <c r="I34" s="107">
        <v>0.88</v>
      </c>
      <c r="J34" s="260">
        <v>0.86</v>
      </c>
      <c r="K34" s="72">
        <v>26.08</v>
      </c>
      <c r="L34" s="73">
        <v>25.94</v>
      </c>
      <c r="M34" s="277"/>
      <c r="N34" s="180"/>
      <c r="O34" s="180"/>
      <c r="P34" s="178"/>
      <c r="Q34" s="276"/>
      <c r="R34" s="145">
        <v>63.5</v>
      </c>
      <c r="S34" s="64">
        <f t="shared" si="0"/>
        <v>13.755739826146511</v>
      </c>
      <c r="T34" s="140">
        <v>3</v>
      </c>
      <c r="V34" s="143">
        <f t="shared" si="5"/>
        <v>23</v>
      </c>
      <c r="W34" s="143">
        <f t="shared" si="2"/>
        <v>2.0000000000000018E-2</v>
      </c>
      <c r="X34" s="143">
        <f t="shared" si="1"/>
        <v>0</v>
      </c>
      <c r="Y34" s="143">
        <f>IF(OR(K34&gt;Cuts!$B$16, L34&gt;Cuts!B$16), 1,0)</f>
        <v>0</v>
      </c>
      <c r="Z34" s="246">
        <f>IF(OR(C34&gt;Cuts!$C$16, D34&gt;Cuts!$C$16),1,0)</f>
        <v>0</v>
      </c>
      <c r="AA34" s="143">
        <f t="shared" si="3"/>
        <v>0</v>
      </c>
    </row>
    <row r="35" spans="1:28">
      <c r="A35" s="66">
        <f t="shared" si="4"/>
        <v>24</v>
      </c>
      <c r="B35" s="140"/>
      <c r="C35" s="257">
        <v>204</v>
      </c>
      <c r="D35" s="54">
        <v>204</v>
      </c>
      <c r="E35" s="235">
        <v>0.89</v>
      </c>
      <c r="F35" s="107">
        <v>0.89</v>
      </c>
      <c r="G35" s="107">
        <v>0.9</v>
      </c>
      <c r="H35" s="107">
        <v>0.9</v>
      </c>
      <c r="I35" s="107">
        <v>0.9</v>
      </c>
      <c r="J35" s="260">
        <v>0.89</v>
      </c>
      <c r="K35" s="72">
        <v>25.8</v>
      </c>
      <c r="L35" s="73">
        <v>25.89</v>
      </c>
      <c r="M35" s="277"/>
      <c r="N35" s="180"/>
      <c r="O35" s="180"/>
      <c r="P35" s="178"/>
      <c r="Q35" s="276"/>
      <c r="R35" s="145">
        <v>63.9</v>
      </c>
      <c r="S35" s="64">
        <f t="shared" si="0"/>
        <v>13.541635474812653</v>
      </c>
      <c r="T35" s="140">
        <v>3</v>
      </c>
      <c r="V35" s="143">
        <f t="shared" si="5"/>
        <v>24</v>
      </c>
      <c r="W35" s="143">
        <f t="shared" si="2"/>
        <v>1.0000000000000009E-2</v>
      </c>
      <c r="X35" s="143">
        <f t="shared" si="1"/>
        <v>0</v>
      </c>
      <c r="Y35" s="143">
        <f>IF(OR(K35&gt;Cuts!$B$16, L35&gt;Cuts!B$16), 1,0)</f>
        <v>0</v>
      </c>
      <c r="Z35" s="246">
        <f>IF(OR(C35&gt;Cuts!$C$16, D35&gt;Cuts!$C$16),1,0)</f>
        <v>0</v>
      </c>
      <c r="AA35" s="143">
        <f t="shared" si="3"/>
        <v>0</v>
      </c>
    </row>
    <row r="36" spans="1:28">
      <c r="A36" s="66">
        <f t="shared" si="4"/>
        <v>25</v>
      </c>
      <c r="B36" s="140"/>
      <c r="C36" s="257">
        <v>204</v>
      </c>
      <c r="D36" s="54">
        <v>204</v>
      </c>
      <c r="E36" s="235">
        <v>0.9</v>
      </c>
      <c r="F36" s="107">
        <v>0.89</v>
      </c>
      <c r="G36" s="107">
        <v>0.9</v>
      </c>
      <c r="H36" s="107">
        <v>0.88</v>
      </c>
      <c r="I36" s="107">
        <v>0.9</v>
      </c>
      <c r="J36" s="260">
        <v>0.89</v>
      </c>
      <c r="K36" s="72">
        <v>25.48</v>
      </c>
      <c r="L36" s="73">
        <v>25.86</v>
      </c>
      <c r="M36" s="277"/>
      <c r="N36" s="180"/>
      <c r="O36" s="180"/>
      <c r="P36" s="178"/>
      <c r="Q36" s="276"/>
      <c r="R36" s="145">
        <v>63.7</v>
      </c>
      <c r="S36" s="64">
        <f t="shared" si="0"/>
        <v>13.6166369053014</v>
      </c>
      <c r="T36" s="140">
        <v>3</v>
      </c>
      <c r="V36" s="143">
        <f t="shared" si="5"/>
        <v>25</v>
      </c>
      <c r="W36" s="143">
        <f t="shared" si="2"/>
        <v>2.0000000000000018E-2</v>
      </c>
      <c r="X36" s="143">
        <f t="shared" si="1"/>
        <v>0</v>
      </c>
      <c r="Y36" s="143">
        <f>IF(OR(K36&gt;Cuts!$B$16, L36&gt;Cuts!B$16), 1,0)</f>
        <v>0</v>
      </c>
      <c r="Z36" s="246">
        <f>IF(OR(C36&gt;Cuts!$C$16, D36&gt;Cuts!$C$16),1,0)</f>
        <v>0</v>
      </c>
      <c r="AA36" s="143">
        <f t="shared" si="3"/>
        <v>0</v>
      </c>
    </row>
    <row r="37" spans="1:28">
      <c r="A37" s="66">
        <f t="shared" si="4"/>
        <v>26</v>
      </c>
      <c r="B37" s="140"/>
      <c r="C37" s="257">
        <v>204</v>
      </c>
      <c r="D37" s="54">
        <v>204</v>
      </c>
      <c r="E37" s="235">
        <v>0.89</v>
      </c>
      <c r="F37" s="107">
        <v>0.88</v>
      </c>
      <c r="G37" s="107">
        <v>0.89</v>
      </c>
      <c r="H37" s="107">
        <v>0.89</v>
      </c>
      <c r="I37" s="107">
        <v>0.89</v>
      </c>
      <c r="J37" s="260">
        <v>0.89</v>
      </c>
      <c r="K37" s="72">
        <v>26.05</v>
      </c>
      <c r="L37" s="73">
        <v>26.11</v>
      </c>
      <c r="M37" s="277"/>
      <c r="N37" s="180"/>
      <c r="O37" s="180"/>
      <c r="P37" s="178"/>
      <c r="Q37" s="276"/>
      <c r="R37" s="145">
        <v>63.8</v>
      </c>
      <c r="S37" s="64">
        <f t="shared" si="0"/>
        <v>13.499166860197041</v>
      </c>
      <c r="T37" s="140">
        <v>3</v>
      </c>
      <c r="V37" s="143">
        <f t="shared" si="5"/>
        <v>26</v>
      </c>
      <c r="W37" s="143">
        <f t="shared" si="2"/>
        <v>1.0000000000000009E-2</v>
      </c>
      <c r="X37" s="143">
        <f t="shared" si="1"/>
        <v>0</v>
      </c>
      <c r="Y37" s="143">
        <f>IF(OR(K37&gt;Cuts!$B$16, L37&gt;Cuts!B$16), 1,0)</f>
        <v>0</v>
      </c>
      <c r="Z37" s="246">
        <f>IF(OR(C37&gt;Cuts!$C$16, D37&gt;Cuts!$C$16),1,0)</f>
        <v>0</v>
      </c>
      <c r="AA37" s="143">
        <f t="shared" si="3"/>
        <v>0</v>
      </c>
    </row>
    <row r="38" spans="1:28">
      <c r="A38" s="66">
        <f t="shared" si="4"/>
        <v>27</v>
      </c>
      <c r="B38" s="140"/>
      <c r="C38" s="257">
        <v>204</v>
      </c>
      <c r="D38" s="54">
        <v>204</v>
      </c>
      <c r="E38" s="235">
        <v>0.87</v>
      </c>
      <c r="F38" s="107">
        <v>0.88</v>
      </c>
      <c r="G38" s="107">
        <v>0.87</v>
      </c>
      <c r="H38" s="107">
        <v>0.88</v>
      </c>
      <c r="I38" s="107">
        <v>0.87</v>
      </c>
      <c r="J38" s="260">
        <v>0.88</v>
      </c>
      <c r="K38" s="72">
        <v>25.75</v>
      </c>
      <c r="L38" s="73">
        <v>25.92</v>
      </c>
      <c r="M38" s="277"/>
      <c r="N38" s="180"/>
      <c r="O38" s="180"/>
      <c r="P38" s="178"/>
      <c r="Q38" s="276"/>
      <c r="R38" s="145">
        <v>64</v>
      </c>
      <c r="S38" s="64">
        <f t="shared" si="0"/>
        <v>13.878204659065096</v>
      </c>
      <c r="T38" s="140">
        <v>3</v>
      </c>
      <c r="V38" s="143">
        <f t="shared" si="5"/>
        <v>27</v>
      </c>
      <c r="W38" s="143">
        <f t="shared" si="2"/>
        <v>1.0000000000000009E-2</v>
      </c>
      <c r="X38" s="143">
        <f t="shared" si="1"/>
        <v>0</v>
      </c>
      <c r="Y38" s="143">
        <f>IF(OR(K38&gt;Cuts!$B$16, L38&gt;Cuts!B$16), 1,0)</f>
        <v>0</v>
      </c>
      <c r="Z38" s="246">
        <f>IF(OR(C38&gt;Cuts!$C$16, D38&gt;Cuts!$C$16),1,0)</f>
        <v>0</v>
      </c>
      <c r="AA38" s="143">
        <f t="shared" si="3"/>
        <v>0</v>
      </c>
    </row>
    <row r="39" spans="1:28">
      <c r="A39" s="171">
        <f t="shared" si="4"/>
        <v>28</v>
      </c>
      <c r="B39" s="140" t="s">
        <v>80</v>
      </c>
      <c r="C39" s="257">
        <v>204</v>
      </c>
      <c r="D39" s="54">
        <v>204</v>
      </c>
      <c r="E39" s="235">
        <v>0.9</v>
      </c>
      <c r="F39" s="107">
        <v>0.93</v>
      </c>
      <c r="G39" s="107">
        <v>0.9</v>
      </c>
      <c r="H39" s="107">
        <v>0.92</v>
      </c>
      <c r="I39" s="107">
        <v>0.91</v>
      </c>
      <c r="J39" s="260">
        <v>0.91</v>
      </c>
      <c r="K39" s="72">
        <v>26.01</v>
      </c>
      <c r="L39" s="73">
        <v>25.95</v>
      </c>
      <c r="M39" s="277"/>
      <c r="N39" s="180"/>
      <c r="O39" s="180"/>
      <c r="P39" s="178"/>
      <c r="Q39" s="276"/>
      <c r="R39" s="145">
        <v>67.099999999999994</v>
      </c>
      <c r="S39" s="64">
        <f t="shared" si="0"/>
        <v>13.887278019828962</v>
      </c>
      <c r="T39" s="140">
        <v>3</v>
      </c>
      <c r="V39" s="265">
        <f t="shared" si="5"/>
        <v>28</v>
      </c>
      <c r="W39" s="143">
        <f t="shared" si="2"/>
        <v>3.0000000000000027E-2</v>
      </c>
      <c r="X39" s="143">
        <f t="shared" si="1"/>
        <v>0</v>
      </c>
      <c r="Y39" s="143">
        <f>IF(OR(K39&gt;Cuts!$B$16, L39&gt;Cuts!B$16), 1,0)</f>
        <v>0</v>
      </c>
      <c r="Z39" s="246">
        <f>IF(OR(C39&gt;Cuts!$C$16, D39&gt;Cuts!$C$16),1,0)</f>
        <v>0</v>
      </c>
      <c r="AA39" s="143">
        <f t="shared" si="3"/>
        <v>0</v>
      </c>
      <c r="AB39" t="s">
        <v>635</v>
      </c>
    </row>
    <row r="40" spans="1:28">
      <c r="A40" s="66">
        <f t="shared" si="4"/>
        <v>29</v>
      </c>
      <c r="B40" s="140"/>
      <c r="C40" s="257">
        <v>204</v>
      </c>
      <c r="D40" s="54">
        <v>204</v>
      </c>
      <c r="E40" s="235">
        <v>0.9</v>
      </c>
      <c r="F40" s="107">
        <v>0.89</v>
      </c>
      <c r="G40" s="107">
        <v>0.9</v>
      </c>
      <c r="H40" s="107">
        <v>0.89</v>
      </c>
      <c r="I40" s="107">
        <v>0.89</v>
      </c>
      <c r="J40" s="260">
        <v>0.88</v>
      </c>
      <c r="K40" s="72">
        <v>25.9</v>
      </c>
      <c r="L40" s="73">
        <v>25.99</v>
      </c>
      <c r="M40" s="277"/>
      <c r="N40" s="180"/>
      <c r="O40" s="180"/>
      <c r="P40" s="178"/>
      <c r="Q40" s="274" t="s">
        <v>94</v>
      </c>
      <c r="R40" s="145">
        <v>65.7</v>
      </c>
      <c r="S40" s="64">
        <f t="shared" si="0"/>
        <v>13.921274451357171</v>
      </c>
      <c r="T40" s="140">
        <v>3</v>
      </c>
      <c r="V40" s="143">
        <f t="shared" si="5"/>
        <v>29</v>
      </c>
      <c r="W40" s="143">
        <f t="shared" si="2"/>
        <v>2.0000000000000018E-2</v>
      </c>
      <c r="X40" s="143">
        <f t="shared" si="1"/>
        <v>0</v>
      </c>
      <c r="Y40" s="143">
        <f>IF(OR(K40&gt;Cuts!$B$16, L40&gt;Cuts!B$16), 1,0)</f>
        <v>0</v>
      </c>
      <c r="Z40" s="246">
        <f>IF(OR(C40&gt;Cuts!$C$16, D40&gt;Cuts!$C$16),1,0)</f>
        <v>0</v>
      </c>
      <c r="AA40" s="143">
        <f t="shared" si="3"/>
        <v>0</v>
      </c>
    </row>
    <row r="41" spans="1:28">
      <c r="A41" s="66">
        <f t="shared" si="4"/>
        <v>30</v>
      </c>
      <c r="B41" s="140"/>
      <c r="C41" s="257">
        <v>204</v>
      </c>
      <c r="D41" s="54">
        <v>204</v>
      </c>
      <c r="E41" s="235">
        <v>0.9</v>
      </c>
      <c r="F41" s="107">
        <v>0.91</v>
      </c>
      <c r="G41" s="107">
        <v>0.9</v>
      </c>
      <c r="H41" s="107">
        <v>0.91</v>
      </c>
      <c r="I41" s="107">
        <v>0.9</v>
      </c>
      <c r="J41" s="260">
        <v>0.91</v>
      </c>
      <c r="K41" s="72">
        <v>26.09</v>
      </c>
      <c r="L41" s="73">
        <v>26.05</v>
      </c>
      <c r="M41" s="277"/>
      <c r="N41" s="180"/>
      <c r="O41" s="180"/>
      <c r="P41" s="178"/>
      <c r="Q41" s="276"/>
      <c r="R41" s="145">
        <v>67</v>
      </c>
      <c r="S41" s="64">
        <f t="shared" si="0"/>
        <v>13.920506098075075</v>
      </c>
      <c r="T41" s="140">
        <v>3</v>
      </c>
      <c r="V41" s="143">
        <f t="shared" si="5"/>
        <v>30</v>
      </c>
      <c r="W41" s="143">
        <f t="shared" si="2"/>
        <v>1.0000000000000009E-2</v>
      </c>
      <c r="X41" s="143">
        <f t="shared" si="1"/>
        <v>0</v>
      </c>
      <c r="Y41" s="143">
        <f>IF(OR(K41&gt;Cuts!$B$16, L41&gt;Cuts!B$16), 1,0)</f>
        <v>0</v>
      </c>
      <c r="Z41" s="246">
        <f>IF(OR(C41&gt;Cuts!$C$16, D41&gt;Cuts!$C$16),1,0)</f>
        <v>0</v>
      </c>
      <c r="AA41" s="143">
        <f t="shared" si="3"/>
        <v>0</v>
      </c>
    </row>
    <row r="42" spans="1:28">
      <c r="A42" s="66">
        <f t="shared" si="4"/>
        <v>31</v>
      </c>
      <c r="B42" s="140"/>
      <c r="C42" s="257">
        <v>204</v>
      </c>
      <c r="D42" s="54">
        <v>204</v>
      </c>
      <c r="E42" s="235">
        <v>0.91</v>
      </c>
      <c r="F42" s="107">
        <v>0.9</v>
      </c>
      <c r="G42" s="107">
        <v>0.91</v>
      </c>
      <c r="H42" s="107">
        <v>0.9</v>
      </c>
      <c r="I42" s="107">
        <v>0.91</v>
      </c>
      <c r="J42" s="260">
        <v>0.91</v>
      </c>
      <c r="K42" s="72">
        <v>26.06</v>
      </c>
      <c r="L42" s="73">
        <v>26.09</v>
      </c>
      <c r="M42" s="277"/>
      <c r="N42" s="180"/>
      <c r="O42" s="180"/>
      <c r="P42" s="178"/>
      <c r="Q42" s="276"/>
      <c r="R42" s="145">
        <v>65.099999999999994</v>
      </c>
      <c r="S42" s="64">
        <f t="shared" si="0"/>
        <v>13.498293119063653</v>
      </c>
      <c r="T42" s="140">
        <v>3</v>
      </c>
      <c r="V42" s="143">
        <f t="shared" si="5"/>
        <v>31</v>
      </c>
      <c r="W42" s="143">
        <f t="shared" si="2"/>
        <v>1.0000000000000009E-2</v>
      </c>
      <c r="X42" s="143">
        <f t="shared" si="1"/>
        <v>0</v>
      </c>
      <c r="Y42" s="143">
        <f>IF(OR(K42&gt;Cuts!$B$16, L42&gt;Cuts!B$16), 1,0)</f>
        <v>0</v>
      </c>
      <c r="Z42" s="246">
        <f>IF(OR(C42&gt;Cuts!$C$16, D42&gt;Cuts!$C$16),1,0)</f>
        <v>0</v>
      </c>
      <c r="AA42" s="143">
        <f t="shared" si="3"/>
        <v>0</v>
      </c>
    </row>
    <row r="43" spans="1:28">
      <c r="A43" s="66">
        <f t="shared" si="4"/>
        <v>32</v>
      </c>
      <c r="B43" s="140"/>
      <c r="C43" s="257">
        <v>204</v>
      </c>
      <c r="D43" s="54">
        <v>204</v>
      </c>
      <c r="E43" s="235">
        <v>0.9</v>
      </c>
      <c r="F43" s="107">
        <v>0.91</v>
      </c>
      <c r="G43" s="107">
        <v>0.9</v>
      </c>
      <c r="H43" s="107">
        <v>0.91</v>
      </c>
      <c r="I43" s="107">
        <v>0.91</v>
      </c>
      <c r="J43" s="260">
        <v>0.92</v>
      </c>
      <c r="K43" s="72">
        <v>26.01</v>
      </c>
      <c r="L43" s="73">
        <v>26.08</v>
      </c>
      <c r="M43" s="277"/>
      <c r="N43" s="180"/>
      <c r="O43" s="180"/>
      <c r="P43" s="178"/>
      <c r="Q43" s="276"/>
      <c r="R43" s="145">
        <v>65.400000000000006</v>
      </c>
      <c r="S43" s="64">
        <f t="shared" si="0"/>
        <v>13.551206622022969</v>
      </c>
      <c r="T43" s="140">
        <v>3</v>
      </c>
      <c r="V43" s="143">
        <f t="shared" si="5"/>
        <v>32</v>
      </c>
      <c r="W43" s="143">
        <f t="shared" si="2"/>
        <v>2.0000000000000018E-2</v>
      </c>
      <c r="X43" s="143">
        <f t="shared" si="1"/>
        <v>0</v>
      </c>
      <c r="Y43" s="143">
        <f>IF(OR(K43&gt;Cuts!$B$16, L43&gt;Cuts!B$16), 1,0)</f>
        <v>0</v>
      </c>
      <c r="Z43" s="246">
        <f>IF(OR(C43&gt;Cuts!$C$16, D43&gt;Cuts!$C$16),1,0)</f>
        <v>0</v>
      </c>
      <c r="AA43" s="143">
        <f t="shared" si="3"/>
        <v>0</v>
      </c>
    </row>
    <row r="44" spans="1:28">
      <c r="A44" s="66">
        <f t="shared" si="4"/>
        <v>33</v>
      </c>
      <c r="B44" s="140"/>
      <c r="C44" s="257">
        <v>204</v>
      </c>
      <c r="D44" s="54">
        <v>204</v>
      </c>
      <c r="E44" s="235">
        <v>0.93</v>
      </c>
      <c r="F44" s="107">
        <v>0.92</v>
      </c>
      <c r="G44" s="107">
        <v>0.93</v>
      </c>
      <c r="H44" s="107">
        <v>0.92</v>
      </c>
      <c r="I44" s="107">
        <v>0.92</v>
      </c>
      <c r="J44" s="260">
        <v>0.92</v>
      </c>
      <c r="K44" s="72">
        <v>25.61</v>
      </c>
      <c r="L44" s="73">
        <v>26.01</v>
      </c>
      <c r="M44" s="277"/>
      <c r="N44" s="180"/>
      <c r="O44" s="180"/>
      <c r="P44" s="178"/>
      <c r="Q44" s="276"/>
      <c r="R44" s="145">
        <v>66</v>
      </c>
      <c r="S44" s="64">
        <f t="shared" si="0"/>
        <v>13.575856827861999</v>
      </c>
      <c r="T44" s="140">
        <v>3</v>
      </c>
      <c r="V44" s="143">
        <f t="shared" si="5"/>
        <v>33</v>
      </c>
      <c r="W44" s="143">
        <f t="shared" si="2"/>
        <v>1.0000000000000009E-2</v>
      </c>
      <c r="X44" s="143">
        <f t="shared" si="1"/>
        <v>0</v>
      </c>
      <c r="Y44" s="143">
        <f>IF(OR(K44&gt;Cuts!$B$16, L44&gt;Cuts!B$16), 1,0)</f>
        <v>0</v>
      </c>
      <c r="Z44" s="246">
        <f>IF(OR(C44&gt;Cuts!$C$16, D44&gt;Cuts!$C$16),1,0)</f>
        <v>0</v>
      </c>
      <c r="AA44" s="143">
        <f t="shared" si="3"/>
        <v>0</v>
      </c>
    </row>
    <row r="45" spans="1:28">
      <c r="A45" s="66">
        <f t="shared" si="4"/>
        <v>34</v>
      </c>
      <c r="B45" s="140"/>
      <c r="C45" s="257">
        <v>204</v>
      </c>
      <c r="D45" s="54">
        <v>204</v>
      </c>
      <c r="E45" s="235">
        <v>0.89</v>
      </c>
      <c r="F45" s="107">
        <v>0.88</v>
      </c>
      <c r="G45" s="107">
        <v>0.89</v>
      </c>
      <c r="H45" s="107">
        <v>0.88</v>
      </c>
      <c r="I45" s="107">
        <v>0.89</v>
      </c>
      <c r="J45" s="260">
        <v>0.89</v>
      </c>
      <c r="K45" s="72">
        <v>26.04</v>
      </c>
      <c r="L45" s="73">
        <v>25.98</v>
      </c>
      <c r="M45" s="277"/>
      <c r="N45" s="180"/>
      <c r="O45" s="180"/>
      <c r="P45" s="178"/>
      <c r="Q45" s="276"/>
      <c r="R45" s="145">
        <v>65</v>
      </c>
      <c r="S45" s="64">
        <f t="shared" si="0"/>
        <v>13.81600415313336</v>
      </c>
      <c r="T45" s="140">
        <v>3</v>
      </c>
      <c r="V45" s="143">
        <f t="shared" si="5"/>
        <v>34</v>
      </c>
      <c r="W45" s="143">
        <f t="shared" si="2"/>
        <v>1.0000000000000009E-2</v>
      </c>
      <c r="X45" s="143">
        <f t="shared" si="1"/>
        <v>0</v>
      </c>
      <c r="Y45" s="143">
        <f>IF(OR(K45&gt;Cuts!$B$16, L45&gt;Cuts!B$16), 1,0)</f>
        <v>0</v>
      </c>
      <c r="Z45" s="246">
        <f>IF(OR(C45&gt;Cuts!$C$16, D45&gt;Cuts!$C$16),1,0)</f>
        <v>0</v>
      </c>
      <c r="AA45" s="143">
        <f t="shared" si="3"/>
        <v>0</v>
      </c>
    </row>
    <row r="46" spans="1:28">
      <c r="A46" s="66">
        <f t="shared" si="4"/>
        <v>35</v>
      </c>
      <c r="B46" s="140" t="s">
        <v>80</v>
      </c>
      <c r="C46" s="257">
        <v>204</v>
      </c>
      <c r="D46" s="54">
        <v>204</v>
      </c>
      <c r="E46" s="235">
        <v>0.89</v>
      </c>
      <c r="F46" s="107">
        <v>0.88</v>
      </c>
      <c r="G46" s="107">
        <v>0.89</v>
      </c>
      <c r="H46" s="107">
        <v>0.88</v>
      </c>
      <c r="I46" s="107">
        <v>0.89</v>
      </c>
      <c r="J46" s="260">
        <v>0.88</v>
      </c>
      <c r="K46" s="72">
        <v>25.99</v>
      </c>
      <c r="L46" s="73">
        <v>26.06</v>
      </c>
      <c r="M46" s="277"/>
      <c r="N46" s="180"/>
      <c r="O46" s="180"/>
      <c r="P46" s="178"/>
      <c r="Q46" s="276"/>
      <c r="R46" s="145">
        <v>64.2</v>
      </c>
      <c r="S46" s="64">
        <f t="shared" si="0"/>
        <v>13.663779714331231</v>
      </c>
      <c r="T46" s="140">
        <v>3</v>
      </c>
      <c r="V46" s="143">
        <f t="shared" si="5"/>
        <v>35</v>
      </c>
      <c r="W46" s="143">
        <f t="shared" si="2"/>
        <v>1.0000000000000009E-2</v>
      </c>
      <c r="X46" s="143">
        <f t="shared" si="1"/>
        <v>0</v>
      </c>
      <c r="Y46" s="143">
        <f>IF(OR(K46&gt;Cuts!$B$16, L46&gt;Cuts!B$16), 1,0)</f>
        <v>0</v>
      </c>
      <c r="Z46" s="246">
        <f>IF(OR(C46&gt;Cuts!$C$16, D46&gt;Cuts!$C$16),1,0)</f>
        <v>0</v>
      </c>
      <c r="AA46" s="143">
        <f t="shared" si="3"/>
        <v>0</v>
      </c>
    </row>
    <row r="47" spans="1:28">
      <c r="A47" s="66">
        <f t="shared" si="4"/>
        <v>36</v>
      </c>
      <c r="B47" s="140"/>
      <c r="C47" s="257">
        <v>204</v>
      </c>
      <c r="D47" s="54">
        <v>204</v>
      </c>
      <c r="E47" s="235">
        <v>0.92</v>
      </c>
      <c r="F47" s="107">
        <v>0.91</v>
      </c>
      <c r="G47" s="107">
        <v>0.91</v>
      </c>
      <c r="H47" s="107">
        <v>0.91</v>
      </c>
      <c r="I47" s="107">
        <v>0.91</v>
      </c>
      <c r="J47" s="260">
        <v>0.91</v>
      </c>
      <c r="K47" s="72">
        <v>25.95</v>
      </c>
      <c r="L47" s="73">
        <v>25.6</v>
      </c>
      <c r="M47" s="277"/>
      <c r="N47" s="180"/>
      <c r="O47" s="180"/>
      <c r="P47" s="178"/>
      <c r="Q47" s="276"/>
      <c r="R47" s="145">
        <v>66.599999999999994</v>
      </c>
      <c r="S47" s="64">
        <f t="shared" si="0"/>
        <v>13.893424707286295</v>
      </c>
      <c r="T47" s="140">
        <v>3</v>
      </c>
      <c r="V47" s="143">
        <f t="shared" si="5"/>
        <v>36</v>
      </c>
      <c r="W47" s="143">
        <f t="shared" si="2"/>
        <v>1.0000000000000009E-2</v>
      </c>
      <c r="X47" s="143">
        <f t="shared" si="1"/>
        <v>0</v>
      </c>
      <c r="Y47" s="143">
        <f>IF(OR(K47&gt;Cuts!$B$16, L47&gt;Cuts!B$16), 1,0)</f>
        <v>0</v>
      </c>
      <c r="Z47" s="246">
        <f>IF(OR(C47&gt;Cuts!$C$16, D47&gt;Cuts!$C$16),1,0)</f>
        <v>0</v>
      </c>
      <c r="AA47" s="143">
        <f t="shared" si="3"/>
        <v>0</v>
      </c>
    </row>
    <row r="48" spans="1:28" s="111" customFormat="1">
      <c r="A48" s="111">
        <f t="shared" si="4"/>
        <v>37</v>
      </c>
      <c r="B48" s="130"/>
      <c r="C48" s="258">
        <v>204</v>
      </c>
      <c r="D48" s="259">
        <v>204</v>
      </c>
      <c r="E48" s="237">
        <v>0.89</v>
      </c>
      <c r="F48" s="113">
        <v>0.89</v>
      </c>
      <c r="G48" s="113">
        <v>0.89</v>
      </c>
      <c r="H48" s="113">
        <v>0.89</v>
      </c>
      <c r="I48" s="113">
        <v>0.89</v>
      </c>
      <c r="J48" s="261">
        <v>0.89</v>
      </c>
      <c r="K48" s="88">
        <v>25.71</v>
      </c>
      <c r="L48" s="89">
        <v>25.93</v>
      </c>
      <c r="M48" s="278"/>
      <c r="N48" s="185"/>
      <c r="O48" s="185"/>
      <c r="P48" s="186"/>
      <c r="Q48" s="279"/>
      <c r="R48" s="116">
        <v>64.2</v>
      </c>
      <c r="S48" s="117">
        <f t="shared" si="0"/>
        <v>13.694892138005605</v>
      </c>
      <c r="T48" s="130">
        <v>3</v>
      </c>
      <c r="V48" s="152">
        <f t="shared" si="5"/>
        <v>37</v>
      </c>
      <c r="W48" s="152">
        <f t="shared" si="2"/>
        <v>0</v>
      </c>
      <c r="X48" s="152">
        <f t="shared" si="1"/>
        <v>0</v>
      </c>
      <c r="Y48" s="152">
        <f>IF(OR(K48&gt;Cuts!$B$16, L48&gt;Cuts!B$16), 1,0)</f>
        <v>0</v>
      </c>
      <c r="Z48" s="248">
        <f>IF(OR(C48&gt;Cuts!$C$16, D48&gt;Cuts!$C$16),1,0)</f>
        <v>0</v>
      </c>
      <c r="AA48" s="152">
        <f t="shared" si="3"/>
        <v>0</v>
      </c>
    </row>
    <row r="49" spans="1:27">
      <c r="A49" s="66"/>
      <c r="C49" s="172"/>
      <c r="D49" s="173"/>
      <c r="E49" s="65"/>
      <c r="F49" s="65"/>
      <c r="G49" s="65"/>
      <c r="H49" s="65"/>
      <c r="I49" s="65"/>
      <c r="J49" s="65"/>
      <c r="K49" s="102"/>
      <c r="L49" s="101"/>
      <c r="M49" s="180"/>
      <c r="N49" s="181"/>
      <c r="O49" s="181"/>
      <c r="P49" s="178"/>
      <c r="Q49" s="182"/>
      <c r="R49" s="104"/>
      <c r="S49" s="105"/>
      <c r="Y49" s="57">
        <f>SUM(Y12:Y48)</f>
        <v>0</v>
      </c>
      <c r="Z49" s="57">
        <f>SUM(Z12:Z48)</f>
        <v>0</v>
      </c>
      <c r="AA49" s="57">
        <f>SUM(AA12:AA48)</f>
        <v>0</v>
      </c>
    </row>
    <row r="50" spans="1:27">
      <c r="A50" s="66"/>
      <c r="C50" s="172"/>
      <c r="D50" s="173"/>
      <c r="E50" s="65"/>
      <c r="F50" s="65"/>
      <c r="G50" s="65"/>
      <c r="H50" s="65"/>
      <c r="I50" s="65"/>
      <c r="J50" s="65"/>
      <c r="K50" s="102"/>
      <c r="L50" s="101"/>
      <c r="M50" s="180"/>
      <c r="N50" s="181"/>
      <c r="O50" s="181"/>
      <c r="P50" s="178"/>
      <c r="Q50" s="182"/>
      <c r="R50" s="104"/>
      <c r="S50" s="105"/>
    </row>
    <row r="51" spans="1:27">
      <c r="A51" s="66" t="s">
        <v>114</v>
      </c>
      <c r="C51" s="57" t="s">
        <v>132</v>
      </c>
      <c r="E51" s="57" t="s">
        <v>133</v>
      </c>
      <c r="K51" s="57" t="s">
        <v>130</v>
      </c>
      <c r="R51" s="57" t="s">
        <v>134</v>
      </c>
      <c r="S51" s="57" t="s">
        <v>135</v>
      </c>
    </row>
    <row r="52" spans="1:27">
      <c r="A52" s="66"/>
    </row>
    <row r="53" spans="1:27">
      <c r="A53" s="57" t="s">
        <v>116</v>
      </c>
      <c r="C53" s="57">
        <f>8*25.4</f>
        <v>203.2</v>
      </c>
      <c r="E53" s="57">
        <f>C6</f>
        <v>0.88900000000000001</v>
      </c>
      <c r="K53" s="102">
        <v>25.4</v>
      </c>
    </row>
    <row r="54" spans="1:27">
      <c r="A54" s="57" t="s">
        <v>111</v>
      </c>
      <c r="C54" s="57">
        <f>MODE(C12:D48)</f>
        <v>204</v>
      </c>
      <c r="E54" s="57">
        <f>MODE(E12:J48)</f>
        <v>0.89</v>
      </c>
      <c r="K54" s="57">
        <f>MODE(K12:L48)</f>
        <v>26.05</v>
      </c>
      <c r="R54" s="57">
        <f>MODE(R12:R48)</f>
        <v>63.9</v>
      </c>
      <c r="S54" s="57" t="e">
        <f>MODE(S22:S48)</f>
        <v>#N/A</v>
      </c>
    </row>
    <row r="55" spans="1:27">
      <c r="A55" s="57" t="s">
        <v>110</v>
      </c>
      <c r="C55" s="121">
        <f>AVERAGE(C12:D48)</f>
        <v>204</v>
      </c>
      <c r="E55" s="65">
        <f>AVERAGE(E12:J48)</f>
        <v>0.89288288288288087</v>
      </c>
      <c r="K55" s="153">
        <f>AVERAGE(K12:L48)</f>
        <v>25.91648648648648</v>
      </c>
      <c r="R55" s="104">
        <f>AVERAGE(R12:R48)</f>
        <v>64.808108108108101</v>
      </c>
      <c r="S55" s="104">
        <f>AVERAGE(S22:S48)</f>
        <v>13.754952914421013</v>
      </c>
    </row>
    <row r="56" spans="1:27">
      <c r="A56" s="57" t="s">
        <v>117</v>
      </c>
      <c r="C56" s="57">
        <f>STDEV(C12:D48)</f>
        <v>0</v>
      </c>
      <c r="D56" s="173"/>
      <c r="E56" s="57">
        <f>STDEV(E12:J48)</f>
        <v>1.5711619897266372E-2</v>
      </c>
      <c r="K56" s="57">
        <f>STDEV(K12:L48)</f>
        <v>0.16880265232431979</v>
      </c>
      <c r="R56" s="57">
        <f>STDEV(R12:R48)</f>
        <v>1.2947282808851783</v>
      </c>
      <c r="S56" s="57">
        <f>STDEV(S22:S48)</f>
        <v>0.14759985735892936</v>
      </c>
    </row>
    <row r="57" spans="1:27">
      <c r="A57" s="154" t="s">
        <v>118</v>
      </c>
      <c r="D57" s="173"/>
      <c r="E57" s="65">
        <f>E55+E56</f>
        <v>0.9085945027801472</v>
      </c>
      <c r="K57" s="153">
        <f>K55+K56</f>
        <v>26.085289138810801</v>
      </c>
      <c r="R57" s="57">
        <f>R55+R56</f>
        <v>66.102836388993282</v>
      </c>
      <c r="S57" s="104">
        <f>S55+S56</f>
        <v>13.902552771779943</v>
      </c>
    </row>
    <row r="58" spans="1:27">
      <c r="A58" s="154" t="s">
        <v>119</v>
      </c>
      <c r="D58" s="173"/>
      <c r="E58" s="65">
        <f>E55-E56</f>
        <v>0.87717126298561454</v>
      </c>
      <c r="K58" s="153">
        <f>K55-K56</f>
        <v>25.74768383416216</v>
      </c>
      <c r="R58" s="57">
        <f>R55-R56</f>
        <v>63.51337982722292</v>
      </c>
      <c r="S58" s="104">
        <f>S55-S56</f>
        <v>13.607353057062083</v>
      </c>
    </row>
    <row r="59" spans="1:27">
      <c r="A59" s="57" t="s">
        <v>124</v>
      </c>
      <c r="C59" s="153">
        <f>MAX(C12:D48)-C53</f>
        <v>0.80000000000001137</v>
      </c>
      <c r="E59" s="65">
        <f>MAX($E$12:J48)-$E$53</f>
        <v>4.1000000000000036E-2</v>
      </c>
      <c r="K59" s="153">
        <f>MAX(K12:L48)-$K$53</f>
        <v>1.0100000000000016</v>
      </c>
      <c r="L59" s="101"/>
      <c r="M59" s="180"/>
      <c r="N59" s="181"/>
      <c r="O59" s="181"/>
      <c r="P59" s="178"/>
      <c r="Q59" s="179"/>
      <c r="R59" s="104"/>
    </row>
    <row r="60" spans="1:27">
      <c r="A60" s="57" t="s">
        <v>125</v>
      </c>
      <c r="C60" s="153">
        <f>MIN(C12:D48)-C53</f>
        <v>0.80000000000001137</v>
      </c>
      <c r="E60" s="65">
        <f>MIN($E$12:J48)-$E$53</f>
        <v>-3.9000000000000035E-2</v>
      </c>
      <c r="K60" s="153">
        <f>MIN(K12:L48)-K53</f>
        <v>8.0000000000001847E-2</v>
      </c>
      <c r="L60" s="101"/>
      <c r="M60" s="180"/>
      <c r="N60" s="181"/>
      <c r="O60" s="181"/>
      <c r="P60" s="178"/>
      <c r="Q60" s="179"/>
      <c r="R60" s="104"/>
      <c r="S60" s="105"/>
    </row>
    <row r="61" spans="1:27" ht="15.75" thickBot="1">
      <c r="A61" s="66"/>
      <c r="C61" s="172"/>
      <c r="E61" s="65"/>
      <c r="F61" s="65"/>
      <c r="G61" s="65"/>
      <c r="H61" s="65"/>
      <c r="I61" s="65"/>
      <c r="J61" s="65"/>
      <c r="K61" s="102"/>
      <c r="L61" s="101"/>
      <c r="M61" s="180"/>
      <c r="N61" s="181"/>
      <c r="O61" s="181"/>
      <c r="P61" s="178"/>
      <c r="Q61" s="179"/>
      <c r="R61" s="104"/>
      <c r="S61" s="105"/>
    </row>
    <row r="62" spans="1:27" s="66" customFormat="1">
      <c r="A62" s="78" t="s">
        <v>146</v>
      </c>
      <c r="C62" s="40" t="s">
        <v>147</v>
      </c>
      <c r="D62" s="40" t="s">
        <v>149</v>
      </c>
      <c r="E62" s="107"/>
      <c r="F62" s="107"/>
      <c r="G62" s="107"/>
      <c r="H62" s="107"/>
      <c r="I62" s="107"/>
      <c r="J62" s="107"/>
      <c r="K62" s="102"/>
      <c r="L62" s="101"/>
      <c r="M62" s="180"/>
      <c r="N62" s="180"/>
      <c r="O62" s="180"/>
      <c r="P62" s="178"/>
      <c r="Q62" s="178"/>
      <c r="R62" s="187"/>
      <c r="S62" s="188"/>
    </row>
    <row r="63" spans="1:27" s="66" customFormat="1">
      <c r="A63" s="66">
        <v>0.84</v>
      </c>
      <c r="C63" s="123">
        <v>0.84</v>
      </c>
      <c r="D63" s="124">
        <v>0</v>
      </c>
    </row>
    <row r="64" spans="1:27">
      <c r="A64" s="57">
        <f>A63+0.01</f>
        <v>0.85</v>
      </c>
      <c r="C64" s="123">
        <v>0.85</v>
      </c>
      <c r="D64" s="124">
        <v>2</v>
      </c>
    </row>
    <row r="65" spans="1:4">
      <c r="A65" s="57">
        <f t="shared" ref="A65:A73" si="6">A64+0.01</f>
        <v>0.86</v>
      </c>
      <c r="C65" s="123">
        <v>0.86</v>
      </c>
      <c r="D65" s="124">
        <v>8</v>
      </c>
    </row>
    <row r="66" spans="1:4">
      <c r="A66" s="57">
        <f t="shared" si="6"/>
        <v>0.87</v>
      </c>
      <c r="C66" s="123">
        <v>0.87</v>
      </c>
      <c r="D66" s="124">
        <v>14</v>
      </c>
    </row>
    <row r="67" spans="1:4">
      <c r="A67" s="57">
        <f t="shared" si="6"/>
        <v>0.88</v>
      </c>
      <c r="C67" s="123">
        <v>0.88</v>
      </c>
      <c r="D67" s="124">
        <v>43</v>
      </c>
    </row>
    <row r="68" spans="1:4">
      <c r="A68" s="57">
        <f t="shared" si="6"/>
        <v>0.89</v>
      </c>
      <c r="C68" s="123">
        <v>0.89</v>
      </c>
      <c r="D68" s="124">
        <v>62</v>
      </c>
    </row>
    <row r="69" spans="1:4">
      <c r="A69" s="57">
        <f>A68+0.01</f>
        <v>0.9</v>
      </c>
      <c r="C69" s="123">
        <v>0.9</v>
      </c>
      <c r="D69" s="124">
        <v>38</v>
      </c>
    </row>
    <row r="70" spans="1:4">
      <c r="A70" s="57">
        <f t="shared" si="6"/>
        <v>0.91</v>
      </c>
      <c r="C70" s="123">
        <v>0.91</v>
      </c>
      <c r="D70" s="124">
        <v>40</v>
      </c>
    </row>
    <row r="71" spans="1:4">
      <c r="A71" s="57">
        <f t="shared" si="6"/>
        <v>0.92</v>
      </c>
      <c r="C71" s="123">
        <v>0.92</v>
      </c>
      <c r="D71" s="124">
        <v>11</v>
      </c>
    </row>
    <row r="72" spans="1:4">
      <c r="A72" s="57">
        <f t="shared" si="6"/>
        <v>0.93</v>
      </c>
      <c r="C72" s="123">
        <v>0.93</v>
      </c>
      <c r="D72" s="124">
        <v>4</v>
      </c>
    </row>
    <row r="73" spans="1:4">
      <c r="A73" s="57">
        <f t="shared" si="6"/>
        <v>0.94000000000000006</v>
      </c>
      <c r="C73" s="123">
        <v>0.94000000000000006</v>
      </c>
      <c r="D73" s="124">
        <v>0</v>
      </c>
    </row>
    <row r="74" spans="1:4" ht="15.75" thickBot="1">
      <c r="C74" s="125" t="s">
        <v>148</v>
      </c>
      <c r="D74" s="125">
        <v>0</v>
      </c>
    </row>
  </sheetData>
  <sortState ref="C63:C73">
    <sortCondition ref="C63"/>
  </sortState>
  <mergeCells count="4">
    <mergeCell ref="C9:D9"/>
    <mergeCell ref="E9:I9"/>
    <mergeCell ref="K9:L9"/>
    <mergeCell ref="M9:P9"/>
  </mergeCells>
  <pageMargins left="0.25" right="0.25" top="0.25" bottom="0.2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1</vt:i4>
      </vt:variant>
    </vt:vector>
  </HeadingPairs>
  <TitlesOfParts>
    <vt:vector size="34" baseType="lpstr">
      <vt:lpstr>Protocalls</vt:lpstr>
      <vt:lpstr>Shipments</vt:lpstr>
      <vt:lpstr>A</vt:lpstr>
      <vt:lpstr>As</vt:lpstr>
      <vt:lpstr>B</vt:lpstr>
      <vt:lpstr>Bs</vt:lpstr>
      <vt:lpstr>C</vt:lpstr>
      <vt:lpstr>D</vt:lpstr>
      <vt:lpstr>E</vt:lpstr>
      <vt:lpstr>Es</vt:lpstr>
      <vt:lpstr>F</vt:lpstr>
      <vt:lpstr>Fs</vt:lpstr>
      <vt:lpstr>G</vt:lpstr>
      <vt:lpstr>Gs</vt:lpstr>
      <vt:lpstr>H</vt:lpstr>
      <vt:lpstr>I</vt:lpstr>
      <vt:lpstr>J</vt:lpstr>
      <vt:lpstr>K</vt:lpstr>
      <vt:lpstr>Ks</vt:lpstr>
      <vt:lpstr>Trends</vt:lpstr>
      <vt:lpstr>Thickness</vt:lpstr>
      <vt:lpstr>Aggregate Data</vt:lpstr>
      <vt:lpstr>Cuts</vt:lpstr>
      <vt:lpstr>Spacers I</vt:lpstr>
      <vt:lpstr>Spacers II</vt:lpstr>
      <vt:lpstr>Washers</vt:lpstr>
      <vt:lpstr>Ordering I</vt:lpstr>
      <vt:lpstr>Ordering II</vt:lpstr>
      <vt:lpstr>Ordering III</vt:lpstr>
      <vt:lpstr>Odering IV</vt:lpstr>
      <vt:lpstr>Assy</vt:lpstr>
      <vt:lpstr>Bundles</vt:lpstr>
      <vt:lpstr>Bund_A</vt:lpstr>
      <vt:lpstr>'Ordering II'!Print_Area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nicoleduncan</dc:creator>
  <cp:lastModifiedBy>nicoleduncan</cp:lastModifiedBy>
  <cp:lastPrinted>2012-12-14T02:04:02Z</cp:lastPrinted>
  <dcterms:created xsi:type="dcterms:W3CDTF">2012-06-14T18:04:52Z</dcterms:created>
  <dcterms:modified xsi:type="dcterms:W3CDTF">2012-12-18T01:01:20Z</dcterms:modified>
</cp:coreProperties>
</file>