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812"/>
  <workbookPr showInkAnnotation="0" autoCompressPictures="0"/>
  <bookViews>
    <workbookView xWindow="0" yWindow="0" windowWidth="36560" windowHeight="23560" tabRatio="944" firstSheet="17" activeTab="39"/>
  </bookViews>
  <sheets>
    <sheet name="A" sheetId="1" r:id="rId1"/>
    <sheet name="As" sheetId="2" r:id="rId2"/>
    <sheet name="B" sheetId="3" r:id="rId3"/>
    <sheet name="Bs" sheetId="4" r:id="rId4"/>
    <sheet name="C" sheetId="5" r:id="rId5"/>
    <sheet name="C (2)" sheetId="37" r:id="rId6"/>
    <sheet name="D" sheetId="6" r:id="rId7"/>
    <sheet name="E" sheetId="7" r:id="rId8"/>
    <sheet name="Es" sheetId="8" r:id="rId9"/>
    <sheet name="F" sheetId="9" r:id="rId10"/>
    <sheet name="Fs" sheetId="10" r:id="rId11"/>
    <sheet name="G" sheetId="11" r:id="rId12"/>
    <sheet name="Gs" sheetId="12" r:id="rId13"/>
    <sheet name="H" sheetId="13" r:id="rId14"/>
    <sheet name="H (2)" sheetId="39" r:id="rId15"/>
    <sheet name="I" sheetId="14" r:id="rId16"/>
    <sheet name="J" sheetId="15" r:id="rId17"/>
    <sheet name="K" sheetId="16" r:id="rId18"/>
    <sheet name="Ks" sheetId="17" r:id="rId19"/>
    <sheet name="A Bundles" sheetId="18" r:id="rId20"/>
    <sheet name="As Bundles" sheetId="19" r:id="rId21"/>
    <sheet name="B Bundles" sheetId="20" r:id="rId22"/>
    <sheet name="Bs Bundles" sheetId="21" r:id="rId23"/>
    <sheet name="C Bundles" sheetId="22" r:id="rId24"/>
    <sheet name="Cs Bundles" sheetId="23" r:id="rId25"/>
    <sheet name="D Bundles" sheetId="24" r:id="rId26"/>
    <sheet name="E Bundles" sheetId="25" r:id="rId27"/>
    <sheet name="F Bundles" sheetId="26" r:id="rId28"/>
    <sheet name="G Bundles" sheetId="27" r:id="rId29"/>
    <sheet name="Gs Bundles" sheetId="38" r:id="rId30"/>
    <sheet name="H Bundles" sheetId="28" r:id="rId31"/>
    <sheet name="Hs Bundles" sheetId="29" r:id="rId32"/>
    <sheet name="I Bundles" sheetId="30" r:id="rId33"/>
    <sheet name="Is Bundles" sheetId="31" r:id="rId34"/>
    <sheet name="J Bundles" sheetId="32" r:id="rId35"/>
    <sheet name="K Bundles" sheetId="33" r:id="rId36"/>
    <sheet name="L Bundles" sheetId="34" r:id="rId37"/>
    <sheet name="M Bundles" sheetId="35" r:id="rId38"/>
    <sheet name="Ms Bundles" sheetId="36" r:id="rId39"/>
    <sheet name="Slat Widths" sheetId="40" r:id="rId40"/>
  </sheets>
  <definedNames>
    <definedName name="_xlnm.Print_Area" localSheetId="39">'Slat Widths'!$A$1:$M$88</definedName>
  </definedNames>
  <calcPr calcId="140000" concurrentCalc="0"/>
  <extLst>
    <ext xmlns:mx="http://schemas.microsoft.com/office/mac/excel/2008/main" uri="{7523E5D3-25F3-A5E0-1632-64F254C22452}">
      <mx:CRTarget Flags="1024"/>
      <mx:ArchID Flags="2"/>
    </ext>
  </extLst>
</workbook>
</file>

<file path=xl/calcChain.xml><?xml version="1.0" encoding="utf-8"?>
<calcChain xmlns="http://schemas.openxmlformats.org/spreadsheetml/2006/main">
  <c r="F27" i="40" l="1"/>
  <c r="H27" i="40"/>
  <c r="F28" i="40"/>
  <c r="H28" i="40"/>
  <c r="F29" i="40"/>
  <c r="H29" i="40"/>
  <c r="F30" i="40"/>
  <c r="H30" i="40"/>
  <c r="F31" i="40"/>
  <c r="H31" i="40"/>
  <c r="F32" i="40"/>
  <c r="H32" i="40"/>
  <c r="F33" i="40"/>
  <c r="H33" i="40"/>
  <c r="F34" i="40"/>
  <c r="H34" i="40"/>
  <c r="F35" i="40"/>
  <c r="H35" i="40"/>
  <c r="F36" i="40"/>
  <c r="H36" i="40"/>
  <c r="F37" i="40"/>
  <c r="H37" i="40"/>
  <c r="F38" i="40"/>
  <c r="H38" i="40"/>
  <c r="F39" i="40"/>
  <c r="H39" i="40"/>
  <c r="F40" i="40"/>
  <c r="H40" i="40"/>
  <c r="F41" i="40"/>
  <c r="H41" i="40"/>
  <c r="F42" i="40"/>
  <c r="H42" i="40"/>
  <c r="F43" i="40"/>
  <c r="H43" i="40"/>
  <c r="F44" i="40"/>
  <c r="H44" i="40"/>
  <c r="F45" i="40"/>
  <c r="H45" i="40"/>
  <c r="F46" i="40"/>
  <c r="H46" i="40"/>
  <c r="F47" i="40"/>
  <c r="H47" i="40"/>
  <c r="F48" i="40"/>
  <c r="H48" i="40"/>
  <c r="H50" i="40"/>
  <c r="G50" i="40"/>
  <c r="F50" i="40"/>
  <c r="E50" i="40"/>
  <c r="D50" i="40"/>
  <c r="B48" i="40"/>
  <c r="B46" i="40"/>
  <c r="B44" i="40"/>
  <c r="B42" i="40"/>
  <c r="B40" i="40"/>
  <c r="B38" i="40"/>
  <c r="B36" i="40"/>
  <c r="B34" i="40"/>
  <c r="B32" i="40"/>
  <c r="B30" i="40"/>
  <c r="B28" i="40"/>
  <c r="B21" i="40"/>
  <c r="B20" i="40"/>
  <c r="B19" i="40"/>
  <c r="B18" i="40"/>
  <c r="B17" i="40"/>
  <c r="B16" i="40"/>
  <c r="B15" i="40"/>
  <c r="B14" i="40"/>
  <c r="B13" i="40"/>
  <c r="B12" i="40"/>
  <c r="B11" i="40"/>
  <c r="B10" i="40"/>
  <c r="G10" i="40"/>
  <c r="G11" i="40"/>
  <c r="G12" i="40"/>
  <c r="G13" i="40"/>
  <c r="G14" i="40"/>
  <c r="G15" i="40"/>
  <c r="G16" i="40"/>
  <c r="G17" i="40"/>
  <c r="G18" i="40"/>
  <c r="G19" i="40"/>
  <c r="G20" i="40"/>
  <c r="G21" i="40"/>
  <c r="G22" i="40"/>
  <c r="G24" i="40"/>
  <c r="F10" i="40"/>
  <c r="F11" i="40"/>
  <c r="F12" i="40"/>
  <c r="F13" i="40"/>
  <c r="F14" i="40"/>
  <c r="F15" i="40"/>
  <c r="F16" i="40"/>
  <c r="F17" i="40"/>
  <c r="F18" i="40"/>
  <c r="F19" i="40"/>
  <c r="F20" i="40"/>
  <c r="F21" i="40"/>
  <c r="F22" i="40"/>
  <c r="F24" i="40"/>
  <c r="E24" i="40"/>
  <c r="D24" i="40"/>
  <c r="C22" i="40"/>
  <c r="K22" i="40"/>
  <c r="L22" i="40"/>
  <c r="H22" i="40"/>
  <c r="I22" i="40"/>
  <c r="C21" i="40"/>
  <c r="K21" i="40"/>
  <c r="L21" i="40"/>
  <c r="H21" i="40"/>
  <c r="I21" i="40"/>
  <c r="C20" i="40"/>
  <c r="K20" i="40"/>
  <c r="L20" i="40"/>
  <c r="H20" i="40"/>
  <c r="I20" i="40"/>
  <c r="C19" i="40"/>
  <c r="K19" i="40"/>
  <c r="L19" i="40"/>
  <c r="H19" i="40"/>
  <c r="I19" i="40"/>
  <c r="C18" i="40"/>
  <c r="K18" i="40"/>
  <c r="L18" i="40"/>
  <c r="H18" i="40"/>
  <c r="I18" i="40"/>
  <c r="C17" i="40"/>
  <c r="K17" i="40"/>
  <c r="L17" i="40"/>
  <c r="H17" i="40"/>
  <c r="I17" i="40"/>
  <c r="C16" i="40"/>
  <c r="K16" i="40"/>
  <c r="L16" i="40"/>
  <c r="H16" i="40"/>
  <c r="I16" i="40"/>
  <c r="C15" i="40"/>
  <c r="K15" i="40"/>
  <c r="L15" i="40"/>
  <c r="H15" i="40"/>
  <c r="I15" i="40"/>
  <c r="C14" i="40"/>
  <c r="K14" i="40"/>
  <c r="L14" i="40"/>
  <c r="H14" i="40"/>
  <c r="I14" i="40"/>
  <c r="C13" i="40"/>
  <c r="K13" i="40"/>
  <c r="L13" i="40"/>
  <c r="H13" i="40"/>
  <c r="I13" i="40"/>
  <c r="C12" i="40"/>
  <c r="K12" i="40"/>
  <c r="L12" i="40"/>
  <c r="H12" i="40"/>
  <c r="I12" i="40"/>
  <c r="C11" i="40"/>
  <c r="K11" i="40"/>
  <c r="L11" i="40"/>
  <c r="H11" i="40"/>
  <c r="I11" i="40"/>
  <c r="C10" i="40"/>
  <c r="K10" i="40"/>
  <c r="L10" i="40"/>
  <c r="H10" i="40"/>
  <c r="I10" i="40"/>
  <c r="E8" i="38"/>
  <c r="F29" i="25"/>
  <c r="F2" i="36"/>
  <c r="F5" i="35"/>
  <c r="F4" i="35"/>
  <c r="F3" i="35"/>
  <c r="F2" i="35"/>
  <c r="F10" i="34"/>
  <c r="F8" i="34"/>
  <c r="F6" i="34"/>
  <c r="F4" i="34"/>
  <c r="F2" i="34"/>
  <c r="F14" i="33"/>
  <c r="F11" i="33"/>
  <c r="F8" i="33"/>
  <c r="F5" i="33"/>
  <c r="F2" i="33"/>
  <c r="F18" i="32"/>
  <c r="F14" i="32"/>
  <c r="F10" i="32"/>
  <c r="F6" i="32"/>
  <c r="F2" i="32"/>
  <c r="F7" i="31"/>
  <c r="F2" i="31"/>
  <c r="E20" i="30"/>
  <c r="E21" i="30"/>
  <c r="F17" i="30"/>
  <c r="E16" i="30"/>
  <c r="E15" i="30"/>
  <c r="E14" i="30"/>
  <c r="E12" i="30"/>
  <c r="F12" i="30"/>
  <c r="E8" i="30"/>
  <c r="F7" i="30"/>
  <c r="F2" i="30"/>
  <c r="F14" i="29"/>
  <c r="F8" i="29"/>
  <c r="F2" i="29"/>
  <c r="F20" i="28"/>
  <c r="F14" i="28"/>
  <c r="F8" i="28"/>
  <c r="F2" i="28"/>
  <c r="E9" i="38"/>
  <c r="F9" i="38"/>
  <c r="E2" i="38"/>
  <c r="F2" i="38"/>
  <c r="F23" i="27"/>
  <c r="F16" i="27"/>
  <c r="F9" i="27"/>
  <c r="F2" i="27"/>
  <c r="F10" i="26"/>
  <c r="F2" i="26"/>
  <c r="F38" i="25"/>
  <c r="F20" i="25"/>
  <c r="F11" i="25"/>
  <c r="F2" i="25"/>
  <c r="S82" i="37"/>
  <c r="S81" i="37"/>
  <c r="S80" i="37"/>
  <c r="S79" i="37"/>
  <c r="R81" i="37"/>
  <c r="R80" i="37"/>
  <c r="R79" i="37"/>
  <c r="S55" i="39"/>
  <c r="W28" i="39"/>
  <c r="W29" i="39"/>
  <c r="W30" i="39"/>
  <c r="W31" i="39"/>
  <c r="W32" i="39"/>
  <c r="V29" i="39"/>
  <c r="V30" i="39"/>
  <c r="V31" i="39"/>
  <c r="V32" i="39"/>
  <c r="V28" i="39"/>
  <c r="S58" i="39"/>
  <c r="S57" i="39"/>
  <c r="S56" i="39"/>
  <c r="R59" i="39"/>
  <c r="R57" i="39"/>
  <c r="R56" i="39"/>
  <c r="R55" i="39"/>
  <c r="K61" i="39"/>
  <c r="K60" i="39"/>
  <c r="K57" i="39"/>
  <c r="K58" i="39"/>
  <c r="K56" i="39"/>
  <c r="K55" i="39"/>
  <c r="E61" i="39"/>
  <c r="E60" i="39"/>
  <c r="E58" i="39"/>
  <c r="E57" i="39"/>
  <c r="E56" i="39"/>
  <c r="E55" i="39"/>
  <c r="C61" i="39"/>
  <c r="C60" i="39"/>
  <c r="C57" i="39"/>
  <c r="C56" i="39"/>
  <c r="C55" i="39"/>
  <c r="E2" i="36"/>
  <c r="E3" i="35"/>
  <c r="E4" i="35"/>
  <c r="E5" i="35"/>
  <c r="E2" i="35"/>
  <c r="E3" i="34"/>
  <c r="E4" i="34"/>
  <c r="E5" i="34"/>
  <c r="E6" i="34"/>
  <c r="E7" i="34"/>
  <c r="E8" i="34"/>
  <c r="E9" i="34"/>
  <c r="E10" i="34"/>
  <c r="E11" i="34"/>
  <c r="E2" i="34"/>
  <c r="E3" i="33"/>
  <c r="E4" i="33"/>
  <c r="E5" i="33"/>
  <c r="E6" i="33"/>
  <c r="E7" i="33"/>
  <c r="E8" i="33"/>
  <c r="E9" i="33"/>
  <c r="E10" i="33"/>
  <c r="E11" i="33"/>
  <c r="E12" i="33"/>
  <c r="E13" i="33"/>
  <c r="E14" i="33"/>
  <c r="E15" i="33"/>
  <c r="E16" i="33"/>
  <c r="E2" i="33"/>
  <c r="E3" i="32"/>
  <c r="E4" i="32"/>
  <c r="E5" i="32"/>
  <c r="E6" i="32"/>
  <c r="E7" i="32"/>
  <c r="E8" i="32"/>
  <c r="E9" i="32"/>
  <c r="E10" i="32"/>
  <c r="E11" i="32"/>
  <c r="E12" i="32"/>
  <c r="E13" i="32"/>
  <c r="E14" i="32"/>
  <c r="E15" i="32"/>
  <c r="E16" i="32"/>
  <c r="E17" i="32"/>
  <c r="E18" i="32"/>
  <c r="E19" i="32"/>
  <c r="E20" i="32"/>
  <c r="E21" i="32"/>
  <c r="E2" i="32"/>
  <c r="S28" i="39"/>
  <c r="S29" i="39"/>
  <c r="S30" i="39"/>
  <c r="S31" i="39"/>
  <c r="S32" i="39"/>
  <c r="A66" i="39"/>
  <c r="A67" i="39"/>
  <c r="A68" i="39"/>
  <c r="A69" i="39"/>
  <c r="A70" i="39"/>
  <c r="A71" i="39"/>
  <c r="A72" i="39"/>
  <c r="A73" i="39"/>
  <c r="A74" i="39"/>
  <c r="C6" i="39"/>
  <c r="E54" i="39"/>
  <c r="C54" i="39"/>
  <c r="S12" i="39"/>
  <c r="S13" i="39"/>
  <c r="S14" i="39"/>
  <c r="S15" i="39"/>
  <c r="S16" i="39"/>
  <c r="S17" i="39"/>
  <c r="S18" i="39"/>
  <c r="S19" i="39"/>
  <c r="S20" i="39"/>
  <c r="S21" i="39"/>
  <c r="S22" i="39"/>
  <c r="S23" i="39"/>
  <c r="S24" i="39"/>
  <c r="S25" i="39"/>
  <c r="S26" i="39"/>
  <c r="S27" i="39"/>
  <c r="S59" i="39"/>
  <c r="K59" i="39"/>
  <c r="E59" i="39"/>
  <c r="R58" i="39"/>
  <c r="AA12" i="39"/>
  <c r="AA13" i="39"/>
  <c r="AA14" i="39"/>
  <c r="AA15" i="39"/>
  <c r="AA16" i="39"/>
  <c r="AA17" i="39"/>
  <c r="AA18" i="39"/>
  <c r="AA19" i="39"/>
  <c r="AA20" i="39"/>
  <c r="AA21" i="39"/>
  <c r="AA22" i="39"/>
  <c r="AA23" i="39"/>
  <c r="AA24" i="39"/>
  <c r="AA25" i="39"/>
  <c r="AA26" i="39"/>
  <c r="AA27" i="39"/>
  <c r="AA28" i="39"/>
  <c r="Z28" i="39"/>
  <c r="Y28" i="39"/>
  <c r="X27" i="39"/>
  <c r="W27" i="39"/>
  <c r="V13" i="39"/>
  <c r="V14" i="39"/>
  <c r="V15" i="39"/>
  <c r="V16" i="39"/>
  <c r="V17" i="39"/>
  <c r="V18" i="39"/>
  <c r="V19" i="39"/>
  <c r="V20" i="39"/>
  <c r="V21" i="39"/>
  <c r="V22" i="39"/>
  <c r="V23" i="39"/>
  <c r="V24" i="39"/>
  <c r="V25" i="39"/>
  <c r="V26" i="39"/>
  <c r="V27" i="39"/>
  <c r="A13" i="39"/>
  <c r="A14" i="39"/>
  <c r="A15" i="39"/>
  <c r="A16" i="39"/>
  <c r="A17" i="39"/>
  <c r="A18" i="39"/>
  <c r="A19" i="39"/>
  <c r="A20" i="39"/>
  <c r="A21" i="39"/>
  <c r="A22" i="39"/>
  <c r="A23" i="39"/>
  <c r="A24" i="39"/>
  <c r="A25" i="39"/>
  <c r="A26" i="39"/>
  <c r="A27" i="39"/>
  <c r="X26" i="39"/>
  <c r="W26" i="39"/>
  <c r="X25" i="39"/>
  <c r="W25" i="39"/>
  <c r="X24" i="39"/>
  <c r="W24" i="39"/>
  <c r="X23" i="39"/>
  <c r="W23" i="39"/>
  <c r="X22" i="39"/>
  <c r="W22" i="39"/>
  <c r="X21" i="39"/>
  <c r="W21" i="39"/>
  <c r="X20" i="39"/>
  <c r="W20" i="39"/>
  <c r="X19" i="39"/>
  <c r="W19" i="39"/>
  <c r="X18" i="39"/>
  <c r="W18" i="39"/>
  <c r="X17" i="39"/>
  <c r="W17" i="39"/>
  <c r="X16" i="39"/>
  <c r="W16" i="39"/>
  <c r="X15" i="39"/>
  <c r="W15" i="39"/>
  <c r="X14" i="39"/>
  <c r="W14" i="39"/>
  <c r="X13" i="39"/>
  <c r="W13" i="39"/>
  <c r="X12" i="39"/>
  <c r="W12" i="39"/>
  <c r="E3" i="31"/>
  <c r="E4" i="31"/>
  <c r="E5" i="31"/>
  <c r="E6" i="31"/>
  <c r="E7" i="31"/>
  <c r="E8" i="31"/>
  <c r="E9" i="31"/>
  <c r="E10" i="31"/>
  <c r="E11" i="31"/>
  <c r="E2" i="31"/>
  <c r="E3" i="30"/>
  <c r="E4" i="30"/>
  <c r="E5" i="30"/>
  <c r="E6" i="30"/>
  <c r="E7" i="30"/>
  <c r="E9" i="30"/>
  <c r="E10" i="30"/>
  <c r="E11" i="30"/>
  <c r="E13" i="30"/>
  <c r="E17" i="30"/>
  <c r="E18" i="30"/>
  <c r="E19" i="30"/>
  <c r="E2" i="30"/>
  <c r="E3" i="29"/>
  <c r="E4" i="29"/>
  <c r="E5" i="29"/>
  <c r="E6" i="29"/>
  <c r="E7" i="29"/>
  <c r="E8" i="29"/>
  <c r="E9" i="29"/>
  <c r="E10" i="29"/>
  <c r="E11" i="29"/>
  <c r="E12" i="29"/>
  <c r="E13" i="29"/>
  <c r="E14" i="29"/>
  <c r="E15" i="29"/>
  <c r="E16" i="29"/>
  <c r="E17" i="29"/>
  <c r="E18" i="29"/>
  <c r="E19" i="29"/>
  <c r="E2" i="29"/>
  <c r="E3" i="28"/>
  <c r="E4" i="28"/>
  <c r="E5" i="28"/>
  <c r="E6" i="28"/>
  <c r="E7" i="28"/>
  <c r="E8" i="28"/>
  <c r="E9" i="28"/>
  <c r="E10" i="28"/>
  <c r="E11" i="28"/>
  <c r="E12" i="28"/>
  <c r="E13" i="28"/>
  <c r="E14" i="28"/>
  <c r="E15" i="28"/>
  <c r="E16" i="28"/>
  <c r="E17" i="28"/>
  <c r="E18" i="28"/>
  <c r="E19" i="28"/>
  <c r="E20" i="28"/>
  <c r="E21" i="28"/>
  <c r="E22" i="28"/>
  <c r="E23" i="28"/>
  <c r="E24" i="28"/>
  <c r="E25" i="28"/>
  <c r="E2" i="28"/>
  <c r="E3" i="38"/>
  <c r="E4" i="38"/>
  <c r="E5" i="38"/>
  <c r="E6" i="38"/>
  <c r="E7" i="38"/>
  <c r="E10" i="38"/>
  <c r="E11" i="38"/>
  <c r="E12" i="38"/>
  <c r="E13" i="38"/>
  <c r="E14" i="38"/>
  <c r="E15" i="38"/>
  <c r="E3" i="27"/>
  <c r="E4" i="27"/>
  <c r="E5" i="27"/>
  <c r="E6" i="27"/>
  <c r="E7" i="27"/>
  <c r="E8" i="27"/>
  <c r="E9" i="27"/>
  <c r="E10" i="27"/>
  <c r="E11" i="27"/>
  <c r="E12" i="27"/>
  <c r="E13" i="27"/>
  <c r="E14" i="27"/>
  <c r="E15" i="27"/>
  <c r="E16" i="27"/>
  <c r="E17" i="27"/>
  <c r="E18" i="27"/>
  <c r="E19" i="27"/>
  <c r="E20" i="27"/>
  <c r="E21" i="27"/>
  <c r="E22" i="27"/>
  <c r="E23" i="27"/>
  <c r="E24" i="27"/>
  <c r="E25" i="27"/>
  <c r="E26" i="27"/>
  <c r="E27" i="27"/>
  <c r="E28" i="27"/>
  <c r="E29" i="27"/>
  <c r="E2" i="27"/>
  <c r="F34" i="26"/>
  <c r="F26" i="26"/>
  <c r="F18" i="26"/>
  <c r="E4" i="26"/>
  <c r="E5" i="26"/>
  <c r="E6" i="26"/>
  <c r="E7" i="26"/>
  <c r="E8" i="26"/>
  <c r="E9" i="26"/>
  <c r="E10" i="26"/>
  <c r="E11" i="26"/>
  <c r="E12" i="26"/>
  <c r="E13" i="26"/>
  <c r="E14" i="26"/>
  <c r="E15" i="26"/>
  <c r="E16" i="26"/>
  <c r="E17" i="26"/>
  <c r="E18" i="26"/>
  <c r="E19" i="26"/>
  <c r="E20" i="26"/>
  <c r="E21" i="26"/>
  <c r="E22" i="26"/>
  <c r="E23" i="26"/>
  <c r="E24" i="26"/>
  <c r="E25" i="26"/>
  <c r="E26" i="26"/>
  <c r="E27" i="26"/>
  <c r="E28" i="26"/>
  <c r="E29" i="26"/>
  <c r="E30" i="26"/>
  <c r="E31" i="26"/>
  <c r="E32" i="26"/>
  <c r="E33" i="26"/>
  <c r="E34" i="26"/>
  <c r="E35" i="26"/>
  <c r="E36" i="26"/>
  <c r="E37" i="26"/>
  <c r="E38" i="26"/>
  <c r="E39" i="26"/>
  <c r="E40" i="26"/>
  <c r="E41" i="26"/>
  <c r="E2" i="26"/>
  <c r="E3" i="26"/>
  <c r="E3" i="25"/>
  <c r="E4" i="25"/>
  <c r="E5" i="25"/>
  <c r="E6" i="25"/>
  <c r="E7" i="25"/>
  <c r="E8" i="25"/>
  <c r="E9" i="25"/>
  <c r="E10" i="25"/>
  <c r="E11" i="25"/>
  <c r="E12" i="25"/>
  <c r="E13" i="25"/>
  <c r="E14" i="25"/>
  <c r="E15" i="25"/>
  <c r="E16" i="25"/>
  <c r="E17" i="25"/>
  <c r="E18" i="25"/>
  <c r="E19" i="25"/>
  <c r="E20" i="25"/>
  <c r="E21" i="25"/>
  <c r="E22" i="25"/>
  <c r="E23" i="25"/>
  <c r="E24" i="25"/>
  <c r="E25" i="25"/>
  <c r="E26" i="25"/>
  <c r="E27" i="25"/>
  <c r="E28" i="25"/>
  <c r="E29" i="25"/>
  <c r="E30" i="25"/>
  <c r="E31" i="25"/>
  <c r="E32" i="25"/>
  <c r="E33" i="25"/>
  <c r="E34" i="25"/>
  <c r="E35" i="25"/>
  <c r="E36" i="25"/>
  <c r="E37" i="25"/>
  <c r="E38" i="25"/>
  <c r="E39" i="25"/>
  <c r="E40" i="25"/>
  <c r="E41" i="25"/>
  <c r="E42" i="25"/>
  <c r="E43" i="25"/>
  <c r="E44" i="25"/>
  <c r="E45" i="25"/>
  <c r="E46" i="25"/>
  <c r="E2" i="25"/>
  <c r="K85" i="37"/>
  <c r="K84" i="37"/>
  <c r="K81" i="37"/>
  <c r="K80" i="37"/>
  <c r="K79" i="37"/>
  <c r="V43" i="37"/>
  <c r="V44" i="37"/>
  <c r="V45" i="37"/>
  <c r="V46" i="37"/>
  <c r="V47" i="37"/>
  <c r="V48" i="37"/>
  <c r="V49" i="37"/>
  <c r="V50" i="37"/>
  <c r="V51" i="37"/>
  <c r="V52" i="37"/>
  <c r="V53" i="37"/>
  <c r="V54" i="37"/>
  <c r="V55" i="37"/>
  <c r="V56" i="37"/>
  <c r="V57" i="37"/>
  <c r="V58" i="37"/>
  <c r="V59" i="37"/>
  <c r="V42" i="37"/>
  <c r="S42" i="37"/>
  <c r="S43" i="37"/>
  <c r="S44" i="37"/>
  <c r="S45" i="37"/>
  <c r="S46" i="37"/>
  <c r="S47" i="37"/>
  <c r="S48" i="37"/>
  <c r="S49" i="37"/>
  <c r="S50" i="37"/>
  <c r="S51" i="37"/>
  <c r="S52" i="37"/>
  <c r="S53" i="37"/>
  <c r="S54" i="37"/>
  <c r="S55" i="37"/>
  <c r="S56" i="37"/>
  <c r="S57" i="37"/>
  <c r="S58" i="37"/>
  <c r="S59" i="37"/>
  <c r="E85" i="37"/>
  <c r="E84" i="37"/>
  <c r="E80" i="37"/>
  <c r="E81" i="37"/>
  <c r="E79" i="37"/>
  <c r="C85" i="37"/>
  <c r="C84" i="37"/>
  <c r="C81" i="37"/>
  <c r="C80" i="37"/>
  <c r="C79" i="37"/>
  <c r="A89" i="37"/>
  <c r="A90" i="37"/>
  <c r="A91" i="37"/>
  <c r="A92" i="37"/>
  <c r="A93" i="37"/>
  <c r="A94" i="37"/>
  <c r="A95" i="37"/>
  <c r="A96" i="37"/>
  <c r="A97" i="37"/>
  <c r="C6" i="37"/>
  <c r="E78" i="37"/>
  <c r="C78" i="37"/>
  <c r="S12" i="37"/>
  <c r="S13" i="37"/>
  <c r="S14" i="37"/>
  <c r="S15" i="37"/>
  <c r="S16" i="37"/>
  <c r="S17" i="37"/>
  <c r="S18" i="37"/>
  <c r="S19" i="37"/>
  <c r="S20" i="37"/>
  <c r="S21" i="37"/>
  <c r="S22" i="37"/>
  <c r="S23" i="37"/>
  <c r="S24" i="37"/>
  <c r="S25" i="37"/>
  <c r="S26" i="37"/>
  <c r="S27" i="37"/>
  <c r="S28" i="37"/>
  <c r="S29" i="37"/>
  <c r="S30" i="37"/>
  <c r="S31" i="37"/>
  <c r="S32" i="37"/>
  <c r="S33" i="37"/>
  <c r="S34" i="37"/>
  <c r="S35" i="37"/>
  <c r="S36" i="37"/>
  <c r="S37" i="37"/>
  <c r="S38" i="37"/>
  <c r="S39" i="37"/>
  <c r="S40" i="37"/>
  <c r="S41" i="37"/>
  <c r="S83" i="37"/>
  <c r="R83" i="37"/>
  <c r="K83" i="37"/>
  <c r="R82" i="37"/>
  <c r="K82" i="37"/>
  <c r="Z12" i="37"/>
  <c r="Z13" i="37"/>
  <c r="Z14" i="37"/>
  <c r="Z15" i="37"/>
  <c r="Z16" i="37"/>
  <c r="Z17" i="37"/>
  <c r="Z18" i="37"/>
  <c r="Z19" i="37"/>
  <c r="Z20" i="37"/>
  <c r="Z21" i="37"/>
  <c r="Z22" i="37"/>
  <c r="Z23" i="37"/>
  <c r="Z24" i="37"/>
  <c r="Z25" i="37"/>
  <c r="Z26" i="37"/>
  <c r="Z27" i="37"/>
  <c r="Z28" i="37"/>
  <c r="Z29" i="37"/>
  <c r="Z30" i="37"/>
  <c r="Z31" i="37"/>
  <c r="Z32" i="37"/>
  <c r="Z33" i="37"/>
  <c r="Z34" i="37"/>
  <c r="Z35" i="37"/>
  <c r="Z36" i="37"/>
  <c r="Z37" i="37"/>
  <c r="Z38" i="37"/>
  <c r="Z39" i="37"/>
  <c r="Z40" i="37"/>
  <c r="Z41" i="37"/>
  <c r="W12" i="37"/>
  <c r="W13" i="37"/>
  <c r="W14" i="37"/>
  <c r="W15" i="37"/>
  <c r="W16" i="37"/>
  <c r="W17" i="37"/>
  <c r="W18" i="37"/>
  <c r="W19" i="37"/>
  <c r="W20" i="37"/>
  <c r="W21" i="37"/>
  <c r="W22" i="37"/>
  <c r="W23" i="37"/>
  <c r="W24" i="37"/>
  <c r="W25" i="37"/>
  <c r="W26" i="37"/>
  <c r="W27" i="37"/>
  <c r="W28" i="37"/>
  <c r="W29" i="37"/>
  <c r="W30" i="37"/>
  <c r="W31" i="37"/>
  <c r="W32" i="37"/>
  <c r="W33" i="37"/>
  <c r="W34" i="37"/>
  <c r="W35" i="37"/>
  <c r="W36" i="37"/>
  <c r="W37" i="37"/>
  <c r="W38" i="37"/>
  <c r="W39" i="37"/>
  <c r="W40" i="37"/>
  <c r="W41" i="37"/>
  <c r="F42" i="24"/>
  <c r="F32" i="24"/>
  <c r="F22" i="24"/>
  <c r="F12" i="24"/>
  <c r="F2" i="24"/>
  <c r="F2" i="23"/>
  <c r="E51" i="24"/>
  <c r="E50" i="24"/>
  <c r="E49" i="24"/>
  <c r="E48" i="24"/>
  <c r="E47" i="24"/>
  <c r="E46" i="24"/>
  <c r="E45" i="24"/>
  <c r="E44" i="24"/>
  <c r="E43" i="24"/>
  <c r="E42" i="24"/>
  <c r="E41" i="24"/>
  <c r="E40" i="24"/>
  <c r="E39" i="24"/>
  <c r="E38" i="24"/>
  <c r="E37" i="24"/>
  <c r="E36" i="24"/>
  <c r="E35" i="24"/>
  <c r="E34" i="24"/>
  <c r="E33" i="24"/>
  <c r="E32" i="24"/>
  <c r="E31" i="24"/>
  <c r="E30" i="24"/>
  <c r="E29" i="24"/>
  <c r="E28" i="24"/>
  <c r="E27" i="24"/>
  <c r="E26" i="24"/>
  <c r="E25" i="24"/>
  <c r="E24" i="24"/>
  <c r="E23" i="24"/>
  <c r="E22" i="24"/>
  <c r="E21" i="24"/>
  <c r="E20" i="24"/>
  <c r="E19" i="24"/>
  <c r="E18" i="24"/>
  <c r="E17" i="24"/>
  <c r="E16" i="24"/>
  <c r="E15" i="24"/>
  <c r="E14" i="24"/>
  <c r="E13" i="24"/>
  <c r="E12" i="24"/>
  <c r="E11" i="24"/>
  <c r="E10" i="24"/>
  <c r="E9" i="24"/>
  <c r="E8" i="24"/>
  <c r="E7" i="24"/>
  <c r="E6" i="24"/>
  <c r="E5" i="24"/>
  <c r="E4" i="24"/>
  <c r="E3" i="24"/>
  <c r="E2" i="24"/>
  <c r="E12" i="23"/>
  <c r="E11" i="23"/>
  <c r="E10" i="23"/>
  <c r="E9" i="23"/>
  <c r="E8" i="23"/>
  <c r="E7" i="23"/>
  <c r="E6" i="23"/>
  <c r="E5" i="23"/>
  <c r="E4" i="23"/>
  <c r="E3" i="23"/>
  <c r="E2" i="23"/>
  <c r="F13" i="22"/>
  <c r="F2" i="22"/>
  <c r="F35" i="22"/>
  <c r="F24" i="22"/>
  <c r="E3" i="22"/>
  <c r="E4" i="22"/>
  <c r="E5" i="22"/>
  <c r="E6" i="22"/>
  <c r="E7" i="22"/>
  <c r="E8" i="22"/>
  <c r="E9" i="22"/>
  <c r="E10" i="22"/>
  <c r="E11" i="22"/>
  <c r="E12" i="22"/>
  <c r="E13" i="22"/>
  <c r="E14" i="22"/>
  <c r="E15" i="22"/>
  <c r="E16" i="22"/>
  <c r="E17" i="22"/>
  <c r="E18" i="22"/>
  <c r="E19" i="22"/>
  <c r="E20" i="22"/>
  <c r="E21" i="22"/>
  <c r="E22" i="22"/>
  <c r="E23" i="22"/>
  <c r="E24" i="22"/>
  <c r="E25" i="22"/>
  <c r="E26" i="22"/>
  <c r="E27" i="22"/>
  <c r="E28" i="22"/>
  <c r="E29" i="22"/>
  <c r="E30" i="22"/>
  <c r="E31" i="22"/>
  <c r="E32" i="22"/>
  <c r="E33" i="22"/>
  <c r="E34" i="22"/>
  <c r="E35" i="22"/>
  <c r="E36" i="22"/>
  <c r="E37" i="22"/>
  <c r="E38" i="22"/>
  <c r="E39" i="22"/>
  <c r="E40" i="22"/>
  <c r="E41" i="22"/>
  <c r="E42" i="22"/>
  <c r="E43" i="22"/>
  <c r="E44" i="22"/>
  <c r="E45" i="22"/>
  <c r="E2" i="22"/>
  <c r="E3" i="21"/>
  <c r="E4" i="21"/>
  <c r="E5" i="21"/>
  <c r="E6" i="21"/>
  <c r="E7" i="21"/>
  <c r="E8" i="21"/>
  <c r="E9" i="21"/>
  <c r="E10" i="21"/>
  <c r="E11" i="21"/>
  <c r="E12" i="21"/>
  <c r="E13" i="21"/>
  <c r="E14" i="21"/>
  <c r="E15" i="21"/>
  <c r="E16" i="21"/>
  <c r="E17" i="21"/>
  <c r="E18" i="21"/>
  <c r="E19" i="21"/>
  <c r="E20" i="21"/>
  <c r="E21" i="21"/>
  <c r="E22" i="21"/>
  <c r="E23" i="21"/>
  <c r="E24" i="21"/>
  <c r="E25" i="21"/>
  <c r="E2" i="21"/>
  <c r="F14" i="21"/>
  <c r="F2" i="21"/>
  <c r="F38" i="20"/>
  <c r="F26" i="20"/>
  <c r="F2" i="20"/>
  <c r="F14" i="20"/>
  <c r="E14" i="20"/>
  <c r="E15" i="20"/>
  <c r="E16" i="20"/>
  <c r="E17" i="20"/>
  <c r="E18" i="20"/>
  <c r="E19" i="20"/>
  <c r="E20" i="20"/>
  <c r="E21" i="20"/>
  <c r="E22" i="20"/>
  <c r="E23" i="20"/>
  <c r="E24" i="20"/>
  <c r="E25" i="20"/>
  <c r="E26" i="20"/>
  <c r="E3" i="20"/>
  <c r="E4" i="20"/>
  <c r="E5" i="20"/>
  <c r="E6" i="20"/>
  <c r="E7" i="20"/>
  <c r="E8" i="20"/>
  <c r="E9" i="20"/>
  <c r="E10" i="20"/>
  <c r="E11" i="20"/>
  <c r="E12" i="20"/>
  <c r="E13" i="20"/>
  <c r="E27" i="20"/>
  <c r="E28" i="20"/>
  <c r="E29" i="20"/>
  <c r="E30" i="20"/>
  <c r="E31" i="20"/>
  <c r="E32" i="20"/>
  <c r="E33" i="20"/>
  <c r="E34" i="20"/>
  <c r="E35" i="20"/>
  <c r="E36" i="20"/>
  <c r="E37" i="20"/>
  <c r="E38" i="20"/>
  <c r="E39" i="20"/>
  <c r="E40" i="20"/>
  <c r="E41" i="20"/>
  <c r="E42" i="20"/>
  <c r="E43" i="20"/>
  <c r="E44" i="20"/>
  <c r="E45" i="20"/>
  <c r="E46" i="20"/>
  <c r="E47" i="20"/>
  <c r="E48" i="20"/>
  <c r="E49" i="20"/>
  <c r="E2" i="20"/>
  <c r="E3" i="19"/>
  <c r="E4" i="19"/>
  <c r="E5" i="19"/>
  <c r="E6" i="19"/>
  <c r="E7" i="19"/>
  <c r="E8" i="19"/>
  <c r="E9" i="19"/>
  <c r="E10" i="19"/>
  <c r="E11" i="19"/>
  <c r="E12" i="19"/>
  <c r="E13" i="19"/>
  <c r="E14" i="19"/>
  <c r="E15" i="19"/>
  <c r="E16" i="19"/>
  <c r="E17" i="19"/>
  <c r="E18" i="19"/>
  <c r="E19" i="19"/>
  <c r="E20" i="19"/>
  <c r="E21" i="19"/>
  <c r="E22" i="19"/>
  <c r="E23" i="19"/>
  <c r="E24" i="19"/>
  <c r="E25" i="19"/>
  <c r="E26" i="19"/>
  <c r="E27" i="19"/>
  <c r="E2" i="19"/>
  <c r="F15" i="19"/>
  <c r="F2" i="19"/>
  <c r="E41" i="18"/>
  <c r="E42" i="18"/>
  <c r="E43" i="18"/>
  <c r="E44" i="18"/>
  <c r="E45" i="18"/>
  <c r="E46" i="18"/>
  <c r="E47" i="18"/>
  <c r="E48" i="18"/>
  <c r="E49" i="18"/>
  <c r="E50" i="18"/>
  <c r="E51" i="18"/>
  <c r="E52" i="18"/>
  <c r="E53" i="18"/>
  <c r="F41" i="18"/>
  <c r="E28" i="18"/>
  <c r="E29" i="18"/>
  <c r="E30" i="18"/>
  <c r="E31" i="18"/>
  <c r="E32" i="18"/>
  <c r="E33" i="18"/>
  <c r="E34" i="18"/>
  <c r="E35" i="18"/>
  <c r="E36" i="18"/>
  <c r="E37" i="18"/>
  <c r="E38" i="18"/>
  <c r="E39" i="18"/>
  <c r="E40" i="18"/>
  <c r="F28" i="18"/>
  <c r="E15" i="18"/>
  <c r="E16" i="18"/>
  <c r="E17" i="18"/>
  <c r="E18" i="18"/>
  <c r="E19" i="18"/>
  <c r="E20" i="18"/>
  <c r="E21" i="18"/>
  <c r="E22" i="18"/>
  <c r="E23" i="18"/>
  <c r="E24" i="18"/>
  <c r="E25" i="18"/>
  <c r="E26" i="18"/>
  <c r="E27" i="18"/>
  <c r="F15" i="18"/>
  <c r="E2" i="18"/>
  <c r="E3" i="18"/>
  <c r="E4" i="18"/>
  <c r="E5" i="18"/>
  <c r="E6" i="18"/>
  <c r="E7" i="18"/>
  <c r="E8" i="18"/>
  <c r="E9" i="18"/>
  <c r="E10" i="18"/>
  <c r="E11" i="18"/>
  <c r="E12" i="18"/>
  <c r="E13" i="18"/>
  <c r="E14" i="18"/>
  <c r="F2" i="18"/>
  <c r="W12" i="17"/>
  <c r="AA12" i="17"/>
  <c r="W13" i="17"/>
  <c r="AA13" i="17"/>
  <c r="Y14" i="17"/>
  <c r="Z14" i="17"/>
  <c r="AA14" i="17"/>
  <c r="C18" i="17"/>
  <c r="E18" i="17"/>
  <c r="C19" i="17"/>
  <c r="E19" i="17"/>
  <c r="K19" i="17"/>
  <c r="Q19" i="17"/>
  <c r="R19" i="17"/>
  <c r="C20" i="17"/>
  <c r="E20" i="17"/>
  <c r="K20" i="17"/>
  <c r="Q20" i="17"/>
  <c r="R20" i="17"/>
  <c r="C21" i="17"/>
  <c r="E21" i="17"/>
  <c r="K21" i="17"/>
  <c r="Q21" i="17"/>
  <c r="R21" i="17"/>
  <c r="E22" i="17"/>
  <c r="K22" i="17"/>
  <c r="Q22" i="17"/>
  <c r="R22" i="17"/>
  <c r="E23" i="17"/>
  <c r="K23" i="17"/>
  <c r="Q23" i="17"/>
  <c r="R23" i="17"/>
  <c r="C24" i="17"/>
  <c r="E24" i="17"/>
  <c r="K24" i="17"/>
  <c r="C25" i="17"/>
  <c r="E25" i="17"/>
  <c r="K25" i="17"/>
  <c r="A28" i="17"/>
  <c r="A29" i="17"/>
  <c r="A30" i="17"/>
  <c r="A31" i="17"/>
  <c r="A32" i="17"/>
  <c r="A33" i="17"/>
  <c r="A34" i="17"/>
  <c r="A35" i="17"/>
  <c r="A36" i="17"/>
  <c r="A37" i="17"/>
  <c r="A38" i="17"/>
  <c r="A39" i="17"/>
  <c r="A40" i="17"/>
  <c r="A41" i="17"/>
  <c r="A42" i="17"/>
  <c r="A43" i="17"/>
  <c r="A44" i="17"/>
  <c r="C6" i="16"/>
  <c r="H7" i="16"/>
  <c r="S12" i="16"/>
  <c r="X12" i="16"/>
  <c r="Y12" i="16"/>
  <c r="AB12" i="16"/>
  <c r="A13" i="16"/>
  <c r="S13" i="16"/>
  <c r="W13" i="16"/>
  <c r="X13" i="16"/>
  <c r="Y13" i="16"/>
  <c r="AB13" i="16"/>
  <c r="A14" i="16"/>
  <c r="S14" i="16"/>
  <c r="W14" i="16"/>
  <c r="X14" i="16"/>
  <c r="Y14" i="16"/>
  <c r="AB14" i="16"/>
  <c r="A15" i="16"/>
  <c r="S15" i="16"/>
  <c r="W15" i="16"/>
  <c r="X15" i="16"/>
  <c r="Y15" i="16"/>
  <c r="AB15" i="16"/>
  <c r="A16" i="16"/>
  <c r="S16" i="16"/>
  <c r="W16" i="16"/>
  <c r="X16" i="16"/>
  <c r="Y16" i="16"/>
  <c r="AB16" i="16"/>
  <c r="Z17" i="16"/>
  <c r="AA17" i="16"/>
  <c r="AB17" i="16"/>
  <c r="C21" i="16"/>
  <c r="E21" i="16"/>
  <c r="C22" i="16"/>
  <c r="E22" i="16"/>
  <c r="K22" i="16"/>
  <c r="C23" i="16"/>
  <c r="E23" i="16"/>
  <c r="K23" i="16"/>
  <c r="R23" i="16"/>
  <c r="S23" i="16"/>
  <c r="C24" i="16"/>
  <c r="E24" i="16"/>
  <c r="K24" i="16"/>
  <c r="R24" i="16"/>
  <c r="S24" i="16"/>
  <c r="E25" i="16"/>
  <c r="K25" i="16"/>
  <c r="R25" i="16"/>
  <c r="E26" i="16"/>
  <c r="K26" i="16"/>
  <c r="R26" i="16"/>
  <c r="C27" i="16"/>
  <c r="E27" i="16"/>
  <c r="K27" i="16"/>
  <c r="C28" i="16"/>
  <c r="E28" i="16"/>
  <c r="K28" i="16"/>
  <c r="A31" i="16"/>
  <c r="A32" i="16"/>
  <c r="A33" i="16"/>
  <c r="A34" i="16"/>
  <c r="A35" i="16"/>
  <c r="A36" i="16"/>
  <c r="A37" i="16"/>
  <c r="A38" i="16"/>
  <c r="A39" i="16"/>
  <c r="A40" i="16"/>
  <c r="A41" i="16"/>
  <c r="A42" i="16"/>
  <c r="A43" i="16"/>
  <c r="A44" i="16"/>
  <c r="A45" i="16"/>
  <c r="A46" i="16"/>
  <c r="A47" i="16"/>
  <c r="C6" i="15"/>
  <c r="S12" i="15"/>
  <c r="W12" i="15"/>
  <c r="X12" i="15"/>
  <c r="AA12" i="15"/>
  <c r="A13" i="15"/>
  <c r="S13" i="15"/>
  <c r="V13" i="15"/>
  <c r="W13" i="15"/>
  <c r="X13" i="15"/>
  <c r="AA13" i="15"/>
  <c r="A14" i="15"/>
  <c r="S14" i="15"/>
  <c r="V14" i="15"/>
  <c r="W14" i="15"/>
  <c r="X14" i="15"/>
  <c r="AA14" i="15"/>
  <c r="A15" i="15"/>
  <c r="S15" i="15"/>
  <c r="V15" i="15"/>
  <c r="W15" i="15"/>
  <c r="X15" i="15"/>
  <c r="AA15" i="15"/>
  <c r="A16" i="15"/>
  <c r="S16" i="15"/>
  <c r="V16" i="15"/>
  <c r="W16" i="15"/>
  <c r="X16" i="15"/>
  <c r="AA16" i="15"/>
  <c r="A17" i="15"/>
  <c r="S17" i="15"/>
  <c r="V17" i="15"/>
  <c r="W17" i="15"/>
  <c r="X17" i="15"/>
  <c r="AA17" i="15"/>
  <c r="A18" i="15"/>
  <c r="S18" i="15"/>
  <c r="V18" i="15"/>
  <c r="W18" i="15"/>
  <c r="X18" i="15"/>
  <c r="AA18" i="15"/>
  <c r="A19" i="15"/>
  <c r="S19" i="15"/>
  <c r="V19" i="15"/>
  <c r="W19" i="15"/>
  <c r="X19" i="15"/>
  <c r="AA19" i="15"/>
  <c r="A20" i="15"/>
  <c r="S20" i="15"/>
  <c r="V20" i="15"/>
  <c r="W20" i="15"/>
  <c r="X20" i="15"/>
  <c r="AA20" i="15"/>
  <c r="A21" i="15"/>
  <c r="S21" i="15"/>
  <c r="V21" i="15"/>
  <c r="W21" i="15"/>
  <c r="X21" i="15"/>
  <c r="AA21" i="15"/>
  <c r="A22" i="15"/>
  <c r="S22" i="15"/>
  <c r="V22" i="15"/>
  <c r="W22" i="15"/>
  <c r="X22" i="15"/>
  <c r="AA22" i="15"/>
  <c r="Y23" i="15"/>
  <c r="Z23" i="15"/>
  <c r="AA23" i="15"/>
  <c r="C27" i="15"/>
  <c r="E27" i="15"/>
  <c r="C28" i="15"/>
  <c r="E28" i="15"/>
  <c r="K28" i="15"/>
  <c r="R28" i="15"/>
  <c r="S28" i="15"/>
  <c r="C29" i="15"/>
  <c r="E29" i="15"/>
  <c r="K29" i="15"/>
  <c r="R29" i="15"/>
  <c r="S29" i="15"/>
  <c r="C30" i="15"/>
  <c r="E30" i="15"/>
  <c r="K30" i="15"/>
  <c r="R30" i="15"/>
  <c r="S30" i="15"/>
  <c r="E31" i="15"/>
  <c r="K31" i="15"/>
  <c r="R31" i="15"/>
  <c r="S31" i="15"/>
  <c r="E32" i="15"/>
  <c r="K32" i="15"/>
  <c r="C33" i="15"/>
  <c r="E33" i="15"/>
  <c r="K33" i="15"/>
  <c r="C34" i="15"/>
  <c r="E34" i="15"/>
  <c r="K34" i="15"/>
  <c r="A37" i="15"/>
  <c r="A38" i="15"/>
  <c r="A39" i="15"/>
  <c r="A40" i="15"/>
  <c r="A41" i="15"/>
  <c r="A42" i="15"/>
  <c r="A43" i="15"/>
  <c r="A44" i="15"/>
  <c r="A45" i="15"/>
  <c r="A46" i="15"/>
  <c r="A47" i="15"/>
  <c r="A48" i="15"/>
  <c r="A49" i="15"/>
  <c r="C6" i="14"/>
  <c r="S12" i="14"/>
  <c r="W12" i="14"/>
  <c r="X12" i="14"/>
  <c r="AA12" i="14"/>
  <c r="S13" i="14"/>
  <c r="W13" i="14"/>
  <c r="X13" i="14"/>
  <c r="AA13" i="14"/>
  <c r="A14" i="14"/>
  <c r="S14" i="14"/>
  <c r="V14" i="14"/>
  <c r="W14" i="14"/>
  <c r="X14" i="14"/>
  <c r="AA14" i="14"/>
  <c r="A15" i="14"/>
  <c r="S15" i="14"/>
  <c r="V15" i="14"/>
  <c r="W15" i="14"/>
  <c r="X15" i="14"/>
  <c r="AA15" i="14"/>
  <c r="A16" i="14"/>
  <c r="S16" i="14"/>
  <c r="V16" i="14"/>
  <c r="W16" i="14"/>
  <c r="X16" i="14"/>
  <c r="AA16" i="14"/>
  <c r="A17" i="14"/>
  <c r="S17" i="14"/>
  <c r="V17" i="14"/>
  <c r="W17" i="14"/>
  <c r="X17" i="14"/>
  <c r="AA17" i="14"/>
  <c r="A18" i="14"/>
  <c r="S18" i="14"/>
  <c r="V18" i="14"/>
  <c r="W18" i="14"/>
  <c r="X18" i="14"/>
  <c r="AA18" i="14"/>
  <c r="A19" i="14"/>
  <c r="S19" i="14"/>
  <c r="V19" i="14"/>
  <c r="W19" i="14"/>
  <c r="X19" i="14"/>
  <c r="AA19" i="14"/>
  <c r="A20" i="14"/>
  <c r="S20" i="14"/>
  <c r="V20" i="14"/>
  <c r="W20" i="14"/>
  <c r="X20" i="14"/>
  <c r="AA20" i="14"/>
  <c r="A21" i="14"/>
  <c r="S21" i="14"/>
  <c r="V21" i="14"/>
  <c r="W21" i="14"/>
  <c r="X21" i="14"/>
  <c r="AA21" i="14"/>
  <c r="A22" i="14"/>
  <c r="S22" i="14"/>
  <c r="V22" i="14"/>
  <c r="W22" i="14"/>
  <c r="X22" i="14"/>
  <c r="AA22" i="14"/>
  <c r="A23" i="14"/>
  <c r="S23" i="14"/>
  <c r="V23" i="14"/>
  <c r="W23" i="14"/>
  <c r="X23" i="14"/>
  <c r="AA23" i="14"/>
  <c r="A24" i="14"/>
  <c r="S24" i="14"/>
  <c r="V24" i="14"/>
  <c r="W24" i="14"/>
  <c r="X24" i="14"/>
  <c r="AA24" i="14"/>
  <c r="A25" i="14"/>
  <c r="S25" i="14"/>
  <c r="V25" i="14"/>
  <c r="W25" i="14"/>
  <c r="X25" i="14"/>
  <c r="AA25" i="14"/>
  <c r="A26" i="14"/>
  <c r="S26" i="14"/>
  <c r="V26" i="14"/>
  <c r="W26" i="14"/>
  <c r="X26" i="14"/>
  <c r="AA26" i="14"/>
  <c r="A27" i="14"/>
  <c r="S27" i="14"/>
  <c r="V27" i="14"/>
  <c r="W27" i="14"/>
  <c r="X27" i="14"/>
  <c r="AA27" i="14"/>
  <c r="Y28" i="14"/>
  <c r="Z28" i="14"/>
  <c r="AA28" i="14"/>
  <c r="C32" i="14"/>
  <c r="E32" i="14"/>
  <c r="C33" i="14"/>
  <c r="E33" i="14"/>
  <c r="K33" i="14"/>
  <c r="R33" i="14"/>
  <c r="S33" i="14"/>
  <c r="C34" i="14"/>
  <c r="E34" i="14"/>
  <c r="K34" i="14"/>
  <c r="R34" i="14"/>
  <c r="S34" i="14"/>
  <c r="C35" i="14"/>
  <c r="E35" i="14"/>
  <c r="K35" i="14"/>
  <c r="R35" i="14"/>
  <c r="S35" i="14"/>
  <c r="E36" i="14"/>
  <c r="K36" i="14"/>
  <c r="R36" i="14"/>
  <c r="S36" i="14"/>
  <c r="E37" i="14"/>
  <c r="K37" i="14"/>
  <c r="R37" i="14"/>
  <c r="S37" i="14"/>
  <c r="C38" i="14"/>
  <c r="E38" i="14"/>
  <c r="K38" i="14"/>
  <c r="C39" i="14"/>
  <c r="E39" i="14"/>
  <c r="K39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C6" i="13"/>
  <c r="S12" i="13"/>
  <c r="W12" i="13"/>
  <c r="X12" i="13"/>
  <c r="AA12" i="13"/>
  <c r="A13" i="13"/>
  <c r="S13" i="13"/>
  <c r="V13" i="13"/>
  <c r="W13" i="13"/>
  <c r="X13" i="13"/>
  <c r="AA13" i="13"/>
  <c r="A14" i="13"/>
  <c r="S14" i="13"/>
  <c r="V14" i="13"/>
  <c r="W14" i="13"/>
  <c r="X14" i="13"/>
  <c r="AA14" i="13"/>
  <c r="A15" i="13"/>
  <c r="S15" i="13"/>
  <c r="V15" i="13"/>
  <c r="W15" i="13"/>
  <c r="X15" i="13"/>
  <c r="AA15" i="13"/>
  <c r="A16" i="13"/>
  <c r="S16" i="13"/>
  <c r="V16" i="13"/>
  <c r="W16" i="13"/>
  <c r="X16" i="13"/>
  <c r="AA16" i="13"/>
  <c r="A17" i="13"/>
  <c r="S17" i="13"/>
  <c r="V17" i="13"/>
  <c r="W17" i="13"/>
  <c r="X17" i="13"/>
  <c r="AA17" i="13"/>
  <c r="A18" i="13"/>
  <c r="S18" i="13"/>
  <c r="V18" i="13"/>
  <c r="W18" i="13"/>
  <c r="X18" i="13"/>
  <c r="AA18" i="13"/>
  <c r="A19" i="13"/>
  <c r="S19" i="13"/>
  <c r="V19" i="13"/>
  <c r="W19" i="13"/>
  <c r="X19" i="13"/>
  <c r="AA19" i="13"/>
  <c r="A20" i="13"/>
  <c r="S20" i="13"/>
  <c r="V20" i="13"/>
  <c r="W20" i="13"/>
  <c r="X20" i="13"/>
  <c r="AA20" i="13"/>
  <c r="A21" i="13"/>
  <c r="S21" i="13"/>
  <c r="V21" i="13"/>
  <c r="W21" i="13"/>
  <c r="X21" i="13"/>
  <c r="AA21" i="13"/>
  <c r="A22" i="13"/>
  <c r="S22" i="13"/>
  <c r="V22" i="13"/>
  <c r="W22" i="13"/>
  <c r="X22" i="13"/>
  <c r="AA22" i="13"/>
  <c r="A23" i="13"/>
  <c r="S23" i="13"/>
  <c r="V23" i="13"/>
  <c r="W23" i="13"/>
  <c r="X23" i="13"/>
  <c r="AA23" i="13"/>
  <c r="A24" i="13"/>
  <c r="S24" i="13"/>
  <c r="V24" i="13"/>
  <c r="W24" i="13"/>
  <c r="X24" i="13"/>
  <c r="AA24" i="13"/>
  <c r="A25" i="13"/>
  <c r="S25" i="13"/>
  <c r="V25" i="13"/>
  <c r="W25" i="13"/>
  <c r="X25" i="13"/>
  <c r="AA25" i="13"/>
  <c r="A26" i="13"/>
  <c r="S26" i="13"/>
  <c r="V26" i="13"/>
  <c r="W26" i="13"/>
  <c r="X26" i="13"/>
  <c r="AA26" i="13"/>
  <c r="A27" i="13"/>
  <c r="S27" i="13"/>
  <c r="V27" i="13"/>
  <c r="W27" i="13"/>
  <c r="X27" i="13"/>
  <c r="AA27" i="13"/>
  <c r="Y28" i="13"/>
  <c r="Z28" i="13"/>
  <c r="AA28" i="13"/>
  <c r="C32" i="13"/>
  <c r="E32" i="13"/>
  <c r="C33" i="13"/>
  <c r="E33" i="13"/>
  <c r="K33" i="13"/>
  <c r="R33" i="13"/>
  <c r="S33" i="13"/>
  <c r="C34" i="13"/>
  <c r="E34" i="13"/>
  <c r="K34" i="13"/>
  <c r="R34" i="13"/>
  <c r="S34" i="13"/>
  <c r="C35" i="13"/>
  <c r="E35" i="13"/>
  <c r="K35" i="13"/>
  <c r="R35" i="13"/>
  <c r="S35" i="13"/>
  <c r="E36" i="13"/>
  <c r="K36" i="13"/>
  <c r="R36" i="13"/>
  <c r="S36" i="13"/>
  <c r="E37" i="13"/>
  <c r="K37" i="13"/>
  <c r="R37" i="13"/>
  <c r="S37" i="13"/>
  <c r="C38" i="13"/>
  <c r="E38" i="13"/>
  <c r="K38" i="13"/>
  <c r="C39" i="13"/>
  <c r="E39" i="13"/>
  <c r="K39" i="13"/>
  <c r="A44" i="13"/>
  <c r="A45" i="13"/>
  <c r="A46" i="13"/>
  <c r="A47" i="13"/>
  <c r="A48" i="13"/>
  <c r="A49" i="13"/>
  <c r="A50" i="13"/>
  <c r="A51" i="13"/>
  <c r="A52" i="13"/>
  <c r="W12" i="12"/>
  <c r="AA12" i="12"/>
  <c r="W13" i="12"/>
  <c r="Y13" i="12"/>
  <c r="AA13" i="12"/>
  <c r="W14" i="12"/>
  <c r="Y14" i="12"/>
  <c r="AA14" i="12"/>
  <c r="W15" i="12"/>
  <c r="Y15" i="12"/>
  <c r="AA15" i="12"/>
  <c r="W16" i="12"/>
  <c r="Y16" i="12"/>
  <c r="AA16" i="12"/>
  <c r="W17" i="12"/>
  <c r="Y17" i="12"/>
  <c r="AA17" i="12"/>
  <c r="W18" i="12"/>
  <c r="Y18" i="12"/>
  <c r="AA18" i="12"/>
  <c r="W19" i="12"/>
  <c r="Y19" i="12"/>
  <c r="AA19" i="12"/>
  <c r="W20" i="12"/>
  <c r="Y20" i="12"/>
  <c r="AA20" i="12"/>
  <c r="W21" i="12"/>
  <c r="Y21" i="12"/>
  <c r="AA21" i="12"/>
  <c r="W22" i="12"/>
  <c r="Y22" i="12"/>
  <c r="AA22" i="12"/>
  <c r="W23" i="12"/>
  <c r="Y23" i="12"/>
  <c r="AA23" i="12"/>
  <c r="W24" i="12"/>
  <c r="Y24" i="12"/>
  <c r="AA24" i="12"/>
  <c r="W25" i="12"/>
  <c r="Y25" i="12"/>
  <c r="AA25" i="12"/>
  <c r="Y26" i="12"/>
  <c r="Z26" i="12"/>
  <c r="AA26" i="12"/>
  <c r="C30" i="12"/>
  <c r="E30" i="12"/>
  <c r="C31" i="12"/>
  <c r="E31" i="12"/>
  <c r="K31" i="12"/>
  <c r="R31" i="12"/>
  <c r="S31" i="12"/>
  <c r="C32" i="12"/>
  <c r="E32" i="12"/>
  <c r="K32" i="12"/>
  <c r="R32" i="12"/>
  <c r="S32" i="12"/>
  <c r="C33" i="12"/>
  <c r="E33" i="12"/>
  <c r="K33" i="12"/>
  <c r="R33" i="12"/>
  <c r="S33" i="12"/>
  <c r="E34" i="12"/>
  <c r="K34" i="12"/>
  <c r="R34" i="12"/>
  <c r="S34" i="12"/>
  <c r="E35" i="12"/>
  <c r="K35" i="12"/>
  <c r="R35" i="12"/>
  <c r="S35" i="12"/>
  <c r="C36" i="12"/>
  <c r="E36" i="12"/>
  <c r="K36" i="12"/>
  <c r="C37" i="12"/>
  <c r="E37" i="12"/>
  <c r="K37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53" i="12"/>
  <c r="A54" i="12"/>
  <c r="A55" i="12"/>
  <c r="C6" i="11"/>
  <c r="S12" i="11"/>
  <c r="W12" i="11"/>
  <c r="X12" i="11"/>
  <c r="AA12" i="11"/>
  <c r="S13" i="11"/>
  <c r="W13" i="11"/>
  <c r="X13" i="11"/>
  <c r="AA13" i="11"/>
  <c r="A14" i="11"/>
  <c r="S14" i="11"/>
  <c r="V14" i="11"/>
  <c r="W14" i="11"/>
  <c r="X14" i="11"/>
  <c r="AA14" i="11"/>
  <c r="A15" i="11"/>
  <c r="S15" i="11"/>
  <c r="V15" i="11"/>
  <c r="W15" i="11"/>
  <c r="X15" i="11"/>
  <c r="AA15" i="11"/>
  <c r="A16" i="11"/>
  <c r="S16" i="11"/>
  <c r="V16" i="11"/>
  <c r="W16" i="11"/>
  <c r="X16" i="11"/>
  <c r="AA16" i="11"/>
  <c r="A17" i="11"/>
  <c r="S17" i="11"/>
  <c r="V17" i="11"/>
  <c r="W17" i="11"/>
  <c r="X17" i="11"/>
  <c r="AA17" i="11"/>
  <c r="A18" i="11"/>
  <c r="S18" i="11"/>
  <c r="V18" i="11"/>
  <c r="W18" i="11"/>
  <c r="X18" i="11"/>
  <c r="AA18" i="11"/>
  <c r="A19" i="11"/>
  <c r="S19" i="11"/>
  <c r="V19" i="11"/>
  <c r="W19" i="11"/>
  <c r="X19" i="11"/>
  <c r="AA19" i="11"/>
  <c r="A20" i="11"/>
  <c r="S20" i="11"/>
  <c r="V20" i="11"/>
  <c r="W20" i="11"/>
  <c r="X20" i="11"/>
  <c r="AA20" i="11"/>
  <c r="A21" i="11"/>
  <c r="S21" i="11"/>
  <c r="V21" i="11"/>
  <c r="W21" i="11"/>
  <c r="X21" i="11"/>
  <c r="AA21" i="11"/>
  <c r="A22" i="11"/>
  <c r="S22" i="11"/>
  <c r="V22" i="11"/>
  <c r="W22" i="11"/>
  <c r="X22" i="11"/>
  <c r="AA22" i="11"/>
  <c r="A23" i="11"/>
  <c r="S23" i="11"/>
  <c r="V23" i="11"/>
  <c r="W23" i="11"/>
  <c r="X23" i="11"/>
  <c r="AA23" i="11"/>
  <c r="A24" i="11"/>
  <c r="S24" i="11"/>
  <c r="V24" i="11"/>
  <c r="W24" i="11"/>
  <c r="X24" i="11"/>
  <c r="AA24" i="11"/>
  <c r="A25" i="11"/>
  <c r="S25" i="11"/>
  <c r="V25" i="11"/>
  <c r="W25" i="11"/>
  <c r="X25" i="11"/>
  <c r="AA25" i="11"/>
  <c r="A26" i="11"/>
  <c r="S26" i="11"/>
  <c r="V26" i="11"/>
  <c r="W26" i="11"/>
  <c r="X26" i="11"/>
  <c r="AA26" i="11"/>
  <c r="A27" i="11"/>
  <c r="S27" i="11"/>
  <c r="V27" i="11"/>
  <c r="W27" i="11"/>
  <c r="X27" i="11"/>
  <c r="AA27" i="11"/>
  <c r="A28" i="11"/>
  <c r="S28" i="11"/>
  <c r="V28" i="11"/>
  <c r="W28" i="11"/>
  <c r="X28" i="11"/>
  <c r="AA28" i="11"/>
  <c r="A29" i="11"/>
  <c r="S29" i="11"/>
  <c r="V29" i="11"/>
  <c r="W29" i="11"/>
  <c r="X29" i="11"/>
  <c r="AA29" i="11"/>
  <c r="A30" i="11"/>
  <c r="S30" i="11"/>
  <c r="V30" i="11"/>
  <c r="W30" i="11"/>
  <c r="X30" i="11"/>
  <c r="AA30" i="11"/>
  <c r="A31" i="11"/>
  <c r="S31" i="11"/>
  <c r="V31" i="11"/>
  <c r="W31" i="11"/>
  <c r="X31" i="11"/>
  <c r="AA31" i="11"/>
  <c r="A32" i="11"/>
  <c r="S32" i="11"/>
  <c r="V32" i="11"/>
  <c r="W32" i="11"/>
  <c r="X32" i="11"/>
  <c r="AA32" i="11"/>
  <c r="Y33" i="11"/>
  <c r="Z33" i="11"/>
  <c r="AA33" i="11"/>
  <c r="C37" i="11"/>
  <c r="E37" i="11"/>
  <c r="C38" i="11"/>
  <c r="E38" i="11"/>
  <c r="K38" i="11"/>
  <c r="R38" i="11"/>
  <c r="S38" i="11"/>
  <c r="C39" i="11"/>
  <c r="E39" i="11"/>
  <c r="K39" i="11"/>
  <c r="R39" i="11"/>
  <c r="S39" i="11"/>
  <c r="C40" i="11"/>
  <c r="E40" i="11"/>
  <c r="K40" i="11"/>
  <c r="R40" i="11"/>
  <c r="S40" i="11"/>
  <c r="E41" i="11"/>
  <c r="K41" i="11"/>
  <c r="R41" i="11"/>
  <c r="S41" i="11"/>
  <c r="E42" i="11"/>
  <c r="K42" i="11"/>
  <c r="R42" i="11"/>
  <c r="S42" i="11"/>
  <c r="C43" i="11"/>
  <c r="E43" i="11"/>
  <c r="K43" i="11"/>
  <c r="C44" i="11"/>
  <c r="E44" i="11"/>
  <c r="K44" i="11"/>
  <c r="A48" i="11"/>
  <c r="A49" i="11"/>
  <c r="A50" i="11"/>
  <c r="A51" i="11"/>
  <c r="A52" i="11"/>
  <c r="A53" i="11"/>
  <c r="A54" i="11"/>
  <c r="A55" i="11"/>
  <c r="A56" i="11"/>
  <c r="A57" i="11"/>
  <c r="A58" i="11"/>
  <c r="A59" i="11"/>
  <c r="A60" i="11"/>
  <c r="A61" i="11"/>
  <c r="A62" i="11"/>
  <c r="W12" i="10"/>
  <c r="AA12" i="10"/>
  <c r="W13" i="10"/>
  <c r="AA13" i="10"/>
  <c r="W14" i="10"/>
  <c r="AA14" i="10"/>
  <c r="W15" i="10"/>
  <c r="AA15" i="10"/>
  <c r="W16" i="10"/>
  <c r="AA16" i="10"/>
  <c r="W17" i="10"/>
  <c r="AA17" i="10"/>
  <c r="W18" i="10"/>
  <c r="AA18" i="10"/>
  <c r="W19" i="10"/>
  <c r="AA19" i="10"/>
  <c r="W20" i="10"/>
  <c r="AA20" i="10"/>
  <c r="W21" i="10"/>
  <c r="AA21" i="10"/>
  <c r="W22" i="10"/>
  <c r="AA22" i="10"/>
  <c r="W23" i="10"/>
  <c r="AA23" i="10"/>
  <c r="W24" i="10"/>
  <c r="AA24" i="10"/>
  <c r="W25" i="10"/>
  <c r="AA25" i="10"/>
  <c r="W26" i="10"/>
  <c r="AA26" i="10"/>
  <c r="W27" i="10"/>
  <c r="AA27" i="10"/>
  <c r="W28" i="10"/>
  <c r="AA28" i="10"/>
  <c r="W29" i="10"/>
  <c r="AA29" i="10"/>
  <c r="W30" i="10"/>
  <c r="AA30" i="10"/>
  <c r="Y31" i="10"/>
  <c r="Z31" i="10"/>
  <c r="AA31" i="10"/>
  <c r="C35" i="10"/>
  <c r="E35" i="10"/>
  <c r="C36" i="10"/>
  <c r="E36" i="10"/>
  <c r="K36" i="10"/>
  <c r="R36" i="10"/>
  <c r="S36" i="10"/>
  <c r="C37" i="10"/>
  <c r="E37" i="10"/>
  <c r="K37" i="10"/>
  <c r="R37" i="10"/>
  <c r="S37" i="10"/>
  <c r="C38" i="10"/>
  <c r="E38" i="10"/>
  <c r="K38" i="10"/>
  <c r="R38" i="10"/>
  <c r="S38" i="10"/>
  <c r="E39" i="10"/>
  <c r="K39" i="10"/>
  <c r="R39" i="10"/>
  <c r="S39" i="10"/>
  <c r="E40" i="10"/>
  <c r="K40" i="10"/>
  <c r="R40" i="10"/>
  <c r="S40" i="10"/>
  <c r="C41" i="10"/>
  <c r="E41" i="10"/>
  <c r="K41" i="10"/>
  <c r="C42" i="10"/>
  <c r="E42" i="10"/>
  <c r="K42" i="10"/>
  <c r="A46" i="10"/>
  <c r="A47" i="10"/>
  <c r="A48" i="10"/>
  <c r="A49" i="10"/>
  <c r="A50" i="10"/>
  <c r="A51" i="10"/>
  <c r="A52" i="10"/>
  <c r="A53" i="10"/>
  <c r="A54" i="10"/>
  <c r="A55" i="10"/>
  <c r="A56" i="10"/>
  <c r="A57" i="10"/>
  <c r="A58" i="10"/>
  <c r="A59" i="10"/>
  <c r="A60" i="10"/>
  <c r="C6" i="9"/>
  <c r="H6" i="9"/>
  <c r="I6" i="9"/>
  <c r="J6" i="9"/>
  <c r="S12" i="9"/>
  <c r="W12" i="9"/>
  <c r="X12" i="9"/>
  <c r="AA12" i="9"/>
  <c r="S13" i="9"/>
  <c r="W13" i="9"/>
  <c r="X13" i="9"/>
  <c r="AA13" i="9"/>
  <c r="A14" i="9"/>
  <c r="S14" i="9"/>
  <c r="V14" i="9"/>
  <c r="W14" i="9"/>
  <c r="X14" i="9"/>
  <c r="AA14" i="9"/>
  <c r="A15" i="9"/>
  <c r="S15" i="9"/>
  <c r="V15" i="9"/>
  <c r="W15" i="9"/>
  <c r="X15" i="9"/>
  <c r="AA15" i="9"/>
  <c r="A16" i="9"/>
  <c r="S16" i="9"/>
  <c r="V16" i="9"/>
  <c r="W16" i="9"/>
  <c r="X16" i="9"/>
  <c r="AA16" i="9"/>
  <c r="A17" i="9"/>
  <c r="S17" i="9"/>
  <c r="V17" i="9"/>
  <c r="W17" i="9"/>
  <c r="X17" i="9"/>
  <c r="AA17" i="9"/>
  <c r="A18" i="9"/>
  <c r="S18" i="9"/>
  <c r="V18" i="9"/>
  <c r="W18" i="9"/>
  <c r="X18" i="9"/>
  <c r="AA18" i="9"/>
  <c r="A19" i="9"/>
  <c r="S19" i="9"/>
  <c r="V19" i="9"/>
  <c r="W19" i="9"/>
  <c r="X19" i="9"/>
  <c r="AA19" i="9"/>
  <c r="A20" i="9"/>
  <c r="S20" i="9"/>
  <c r="V20" i="9"/>
  <c r="W20" i="9"/>
  <c r="X20" i="9"/>
  <c r="AA20" i="9"/>
  <c r="A21" i="9"/>
  <c r="S21" i="9"/>
  <c r="V21" i="9"/>
  <c r="W21" i="9"/>
  <c r="X21" i="9"/>
  <c r="AA21" i="9"/>
  <c r="A22" i="9"/>
  <c r="S22" i="9"/>
  <c r="V22" i="9"/>
  <c r="W22" i="9"/>
  <c r="X22" i="9"/>
  <c r="AA22" i="9"/>
  <c r="A23" i="9"/>
  <c r="S23" i="9"/>
  <c r="V23" i="9"/>
  <c r="W23" i="9"/>
  <c r="X23" i="9"/>
  <c r="AA23" i="9"/>
  <c r="A24" i="9"/>
  <c r="S24" i="9"/>
  <c r="V24" i="9"/>
  <c r="W24" i="9"/>
  <c r="X24" i="9"/>
  <c r="AA24" i="9"/>
  <c r="A25" i="9"/>
  <c r="S25" i="9"/>
  <c r="V25" i="9"/>
  <c r="W25" i="9"/>
  <c r="X25" i="9"/>
  <c r="AA25" i="9"/>
  <c r="A26" i="9"/>
  <c r="S26" i="9"/>
  <c r="V26" i="9"/>
  <c r="W26" i="9"/>
  <c r="X26" i="9"/>
  <c r="AA26" i="9"/>
  <c r="A27" i="9"/>
  <c r="S27" i="9"/>
  <c r="V27" i="9"/>
  <c r="W27" i="9"/>
  <c r="X27" i="9"/>
  <c r="AA27" i="9"/>
  <c r="A28" i="9"/>
  <c r="S28" i="9"/>
  <c r="V28" i="9"/>
  <c r="W28" i="9"/>
  <c r="X28" i="9"/>
  <c r="AA28" i="9"/>
  <c r="A29" i="9"/>
  <c r="S29" i="9"/>
  <c r="V29" i="9"/>
  <c r="W29" i="9"/>
  <c r="X29" i="9"/>
  <c r="AA29" i="9"/>
  <c r="A30" i="9"/>
  <c r="S30" i="9"/>
  <c r="V30" i="9"/>
  <c r="W30" i="9"/>
  <c r="X30" i="9"/>
  <c r="AA30" i="9"/>
  <c r="A31" i="9"/>
  <c r="S31" i="9"/>
  <c r="V31" i="9"/>
  <c r="W31" i="9"/>
  <c r="X31" i="9"/>
  <c r="AA31" i="9"/>
  <c r="A32" i="9"/>
  <c r="S32" i="9"/>
  <c r="V32" i="9"/>
  <c r="W32" i="9"/>
  <c r="X32" i="9"/>
  <c r="AA32" i="9"/>
  <c r="A33" i="9"/>
  <c r="S33" i="9"/>
  <c r="V33" i="9"/>
  <c r="W33" i="9"/>
  <c r="X33" i="9"/>
  <c r="AA33" i="9"/>
  <c r="A34" i="9"/>
  <c r="S34" i="9"/>
  <c r="V34" i="9"/>
  <c r="W34" i="9"/>
  <c r="X34" i="9"/>
  <c r="AA34" i="9"/>
  <c r="A35" i="9"/>
  <c r="S35" i="9"/>
  <c r="V35" i="9"/>
  <c r="W35" i="9"/>
  <c r="X35" i="9"/>
  <c r="AA35" i="9"/>
  <c r="A36" i="9"/>
  <c r="S36" i="9"/>
  <c r="V36" i="9"/>
  <c r="W36" i="9"/>
  <c r="X36" i="9"/>
  <c r="AA36" i="9"/>
  <c r="Y37" i="9"/>
  <c r="Z37" i="9"/>
  <c r="AA37" i="9"/>
  <c r="C41" i="9"/>
  <c r="E41" i="9"/>
  <c r="C42" i="9"/>
  <c r="E42" i="9"/>
  <c r="K42" i="9"/>
  <c r="R42" i="9"/>
  <c r="S42" i="9"/>
  <c r="C43" i="9"/>
  <c r="E43" i="9"/>
  <c r="K43" i="9"/>
  <c r="R43" i="9"/>
  <c r="S43" i="9"/>
  <c r="C44" i="9"/>
  <c r="E44" i="9"/>
  <c r="K44" i="9"/>
  <c r="R44" i="9"/>
  <c r="S44" i="9"/>
  <c r="E45" i="9"/>
  <c r="K45" i="9"/>
  <c r="R45" i="9"/>
  <c r="S45" i="9"/>
  <c r="E46" i="9"/>
  <c r="K46" i="9"/>
  <c r="R46" i="9"/>
  <c r="S46" i="9"/>
  <c r="C47" i="9"/>
  <c r="E47" i="9"/>
  <c r="K47" i="9"/>
  <c r="C48" i="9"/>
  <c r="E48" i="9"/>
  <c r="K48" i="9"/>
  <c r="A52" i="9"/>
  <c r="A53" i="9"/>
  <c r="A54" i="9"/>
  <c r="A55" i="9"/>
  <c r="A56" i="9"/>
  <c r="A57" i="9"/>
  <c r="A58" i="9"/>
  <c r="A59" i="9"/>
  <c r="A60" i="9"/>
  <c r="A61" i="9"/>
  <c r="A62" i="9"/>
  <c r="A63" i="9"/>
  <c r="A64" i="9"/>
  <c r="N5" i="8"/>
  <c r="X12" i="8"/>
  <c r="AB12" i="8"/>
  <c r="X13" i="8"/>
  <c r="AB13" i="8"/>
  <c r="X14" i="8"/>
  <c r="AB14" i="8"/>
  <c r="X15" i="8"/>
  <c r="AB15" i="8"/>
  <c r="X16" i="8"/>
  <c r="AB16" i="8"/>
  <c r="X17" i="8"/>
  <c r="AB17" i="8"/>
  <c r="X18" i="8"/>
  <c r="AB18" i="8"/>
  <c r="X19" i="8"/>
  <c r="AB19" i="8"/>
  <c r="X20" i="8"/>
  <c r="AB20" i="8"/>
  <c r="X21" i="8"/>
  <c r="AB21" i="8"/>
  <c r="X22" i="8"/>
  <c r="AB22" i="8"/>
  <c r="X23" i="8"/>
  <c r="AB23" i="8"/>
  <c r="X24" i="8"/>
  <c r="AB24" i="8"/>
  <c r="X25" i="8"/>
  <c r="AB25" i="8"/>
  <c r="X26" i="8"/>
  <c r="AB26" i="8"/>
  <c r="X27" i="8"/>
  <c r="AB27" i="8"/>
  <c r="X28" i="8"/>
  <c r="AB28" i="8"/>
  <c r="Z29" i="8"/>
  <c r="AA29" i="8"/>
  <c r="AB29" i="8"/>
  <c r="C33" i="8"/>
  <c r="E33" i="8"/>
  <c r="C34" i="8"/>
  <c r="E34" i="8"/>
  <c r="K34" i="8"/>
  <c r="S34" i="8"/>
  <c r="T34" i="8"/>
  <c r="C35" i="8"/>
  <c r="E35" i="8"/>
  <c r="K35" i="8"/>
  <c r="S35" i="8"/>
  <c r="T35" i="8"/>
  <c r="C36" i="8"/>
  <c r="E36" i="8"/>
  <c r="K36" i="8"/>
  <c r="S36" i="8"/>
  <c r="T36" i="8"/>
  <c r="E37" i="8"/>
  <c r="K37" i="8"/>
  <c r="S37" i="8"/>
  <c r="T37" i="8"/>
  <c r="E38" i="8"/>
  <c r="K38" i="8"/>
  <c r="S38" i="8"/>
  <c r="T38" i="8"/>
  <c r="C39" i="8"/>
  <c r="E39" i="8"/>
  <c r="K39" i="8"/>
  <c r="C40" i="8"/>
  <c r="E40" i="8"/>
  <c r="K40" i="8"/>
  <c r="A44" i="8"/>
  <c r="A45" i="8"/>
  <c r="A46" i="8"/>
  <c r="A47" i="8"/>
  <c r="A48" i="8"/>
  <c r="A49" i="8"/>
  <c r="A50" i="8"/>
  <c r="A51" i="8"/>
  <c r="A52" i="8"/>
  <c r="A53" i="8"/>
  <c r="C6" i="7"/>
  <c r="S12" i="7"/>
  <c r="W12" i="7"/>
  <c r="X12" i="7"/>
  <c r="AA12" i="7"/>
  <c r="A13" i="7"/>
  <c r="S13" i="7"/>
  <c r="V13" i="7"/>
  <c r="W13" i="7"/>
  <c r="X13" i="7"/>
  <c r="AA13" i="7"/>
  <c r="A14" i="7"/>
  <c r="S14" i="7"/>
  <c r="V14" i="7"/>
  <c r="W14" i="7"/>
  <c r="X14" i="7"/>
  <c r="AA14" i="7"/>
  <c r="A15" i="7"/>
  <c r="S15" i="7"/>
  <c r="V15" i="7"/>
  <c r="W15" i="7"/>
  <c r="X15" i="7"/>
  <c r="AA15" i="7"/>
  <c r="A16" i="7"/>
  <c r="S16" i="7"/>
  <c r="V16" i="7"/>
  <c r="W16" i="7"/>
  <c r="X16" i="7"/>
  <c r="AA16" i="7"/>
  <c r="A17" i="7"/>
  <c r="S17" i="7"/>
  <c r="V17" i="7"/>
  <c r="W17" i="7"/>
  <c r="X17" i="7"/>
  <c r="AA17" i="7"/>
  <c r="A18" i="7"/>
  <c r="S18" i="7"/>
  <c r="V18" i="7"/>
  <c r="W18" i="7"/>
  <c r="X18" i="7"/>
  <c r="AA18" i="7"/>
  <c r="A19" i="7"/>
  <c r="S19" i="7"/>
  <c r="V19" i="7"/>
  <c r="W19" i="7"/>
  <c r="X19" i="7"/>
  <c r="AA19" i="7"/>
  <c r="A20" i="7"/>
  <c r="S20" i="7"/>
  <c r="V20" i="7"/>
  <c r="W20" i="7"/>
  <c r="X20" i="7"/>
  <c r="AA20" i="7"/>
  <c r="A21" i="7"/>
  <c r="S21" i="7"/>
  <c r="V21" i="7"/>
  <c r="W21" i="7"/>
  <c r="X21" i="7"/>
  <c r="AA21" i="7"/>
  <c r="A22" i="7"/>
  <c r="S22" i="7"/>
  <c r="V22" i="7"/>
  <c r="W22" i="7"/>
  <c r="X22" i="7"/>
  <c r="AA22" i="7"/>
  <c r="A23" i="7"/>
  <c r="S23" i="7"/>
  <c r="V23" i="7"/>
  <c r="W23" i="7"/>
  <c r="X23" i="7"/>
  <c r="AA23" i="7"/>
  <c r="A24" i="7"/>
  <c r="S24" i="7"/>
  <c r="V24" i="7"/>
  <c r="W24" i="7"/>
  <c r="X24" i="7"/>
  <c r="AA24" i="7"/>
  <c r="A25" i="7"/>
  <c r="S25" i="7"/>
  <c r="V25" i="7"/>
  <c r="W25" i="7"/>
  <c r="X25" i="7"/>
  <c r="AA25" i="7"/>
  <c r="A26" i="7"/>
  <c r="S26" i="7"/>
  <c r="V26" i="7"/>
  <c r="W26" i="7"/>
  <c r="X26" i="7"/>
  <c r="AA26" i="7"/>
  <c r="A27" i="7"/>
  <c r="S27" i="7"/>
  <c r="V27" i="7"/>
  <c r="W27" i="7"/>
  <c r="X27" i="7"/>
  <c r="AA27" i="7"/>
  <c r="A28" i="7"/>
  <c r="S28" i="7"/>
  <c r="V28" i="7"/>
  <c r="W28" i="7"/>
  <c r="X28" i="7"/>
  <c r="AA28" i="7"/>
  <c r="A29" i="7"/>
  <c r="S29" i="7"/>
  <c r="V29" i="7"/>
  <c r="W29" i="7"/>
  <c r="X29" i="7"/>
  <c r="AA29" i="7"/>
  <c r="A30" i="7"/>
  <c r="S30" i="7"/>
  <c r="V30" i="7"/>
  <c r="W30" i="7"/>
  <c r="X30" i="7"/>
  <c r="AA30" i="7"/>
  <c r="A31" i="7"/>
  <c r="S31" i="7"/>
  <c r="V31" i="7"/>
  <c r="W31" i="7"/>
  <c r="X31" i="7"/>
  <c r="AA31" i="7"/>
  <c r="A32" i="7"/>
  <c r="S32" i="7"/>
  <c r="V32" i="7"/>
  <c r="W32" i="7"/>
  <c r="X32" i="7"/>
  <c r="AA32" i="7"/>
  <c r="A33" i="7"/>
  <c r="S33" i="7"/>
  <c r="V33" i="7"/>
  <c r="W33" i="7"/>
  <c r="X33" i="7"/>
  <c r="AA33" i="7"/>
  <c r="A34" i="7"/>
  <c r="S34" i="7"/>
  <c r="V34" i="7"/>
  <c r="W34" i="7"/>
  <c r="X34" i="7"/>
  <c r="AA34" i="7"/>
  <c r="A35" i="7"/>
  <c r="S35" i="7"/>
  <c r="V35" i="7"/>
  <c r="W35" i="7"/>
  <c r="X35" i="7"/>
  <c r="AA35" i="7"/>
  <c r="A36" i="7"/>
  <c r="S36" i="7"/>
  <c r="V36" i="7"/>
  <c r="W36" i="7"/>
  <c r="X36" i="7"/>
  <c r="AA36" i="7"/>
  <c r="A37" i="7"/>
  <c r="S37" i="7"/>
  <c r="V37" i="7"/>
  <c r="W37" i="7"/>
  <c r="X37" i="7"/>
  <c r="AA37" i="7"/>
  <c r="A38" i="7"/>
  <c r="S38" i="7"/>
  <c r="V38" i="7"/>
  <c r="W38" i="7"/>
  <c r="X38" i="7"/>
  <c r="AA38" i="7"/>
  <c r="A39" i="7"/>
  <c r="S39" i="7"/>
  <c r="V39" i="7"/>
  <c r="W39" i="7"/>
  <c r="X39" i="7"/>
  <c r="AA39" i="7"/>
  <c r="A40" i="7"/>
  <c r="S40" i="7"/>
  <c r="V40" i="7"/>
  <c r="W40" i="7"/>
  <c r="X40" i="7"/>
  <c r="AA40" i="7"/>
  <c r="A41" i="7"/>
  <c r="S41" i="7"/>
  <c r="V41" i="7"/>
  <c r="W41" i="7"/>
  <c r="X41" i="7"/>
  <c r="AA41" i="7"/>
  <c r="A42" i="7"/>
  <c r="S42" i="7"/>
  <c r="V42" i="7"/>
  <c r="W42" i="7"/>
  <c r="X42" i="7"/>
  <c r="AA42" i="7"/>
  <c r="A43" i="7"/>
  <c r="S43" i="7"/>
  <c r="V43" i="7"/>
  <c r="W43" i="7"/>
  <c r="X43" i="7"/>
  <c r="AA43" i="7"/>
  <c r="A44" i="7"/>
  <c r="S44" i="7"/>
  <c r="V44" i="7"/>
  <c r="W44" i="7"/>
  <c r="X44" i="7"/>
  <c r="AA44" i="7"/>
  <c r="A45" i="7"/>
  <c r="S45" i="7"/>
  <c r="V45" i="7"/>
  <c r="W45" i="7"/>
  <c r="X45" i="7"/>
  <c r="AA45" i="7"/>
  <c r="A46" i="7"/>
  <c r="S46" i="7"/>
  <c r="V46" i="7"/>
  <c r="W46" i="7"/>
  <c r="X46" i="7"/>
  <c r="AA46" i="7"/>
  <c r="A47" i="7"/>
  <c r="S47" i="7"/>
  <c r="V47" i="7"/>
  <c r="W47" i="7"/>
  <c r="X47" i="7"/>
  <c r="AA47" i="7"/>
  <c r="A48" i="7"/>
  <c r="S48" i="7"/>
  <c r="V48" i="7"/>
  <c r="W48" i="7"/>
  <c r="X48" i="7"/>
  <c r="AA48" i="7"/>
  <c r="Y49" i="7"/>
  <c r="Z49" i="7"/>
  <c r="AA49" i="7"/>
  <c r="C53" i="7"/>
  <c r="E53" i="7"/>
  <c r="C54" i="7"/>
  <c r="E54" i="7"/>
  <c r="K54" i="7"/>
  <c r="R54" i="7"/>
  <c r="S54" i="7"/>
  <c r="C55" i="7"/>
  <c r="E55" i="7"/>
  <c r="K55" i="7"/>
  <c r="R55" i="7"/>
  <c r="S55" i="7"/>
  <c r="C56" i="7"/>
  <c r="E56" i="7"/>
  <c r="K56" i="7"/>
  <c r="R56" i="7"/>
  <c r="S56" i="7"/>
  <c r="E57" i="7"/>
  <c r="K57" i="7"/>
  <c r="R57" i="7"/>
  <c r="S57" i="7"/>
  <c r="E58" i="7"/>
  <c r="K58" i="7"/>
  <c r="R58" i="7"/>
  <c r="S58" i="7"/>
  <c r="C59" i="7"/>
  <c r="E59" i="7"/>
  <c r="K59" i="7"/>
  <c r="C60" i="7"/>
  <c r="E60" i="7"/>
  <c r="K60" i="7"/>
  <c r="A64" i="7"/>
  <c r="A65" i="7"/>
  <c r="A66" i="7"/>
  <c r="A67" i="7"/>
  <c r="A68" i="7"/>
  <c r="A69" i="7"/>
  <c r="A70" i="7"/>
  <c r="A71" i="7"/>
  <c r="A72" i="7"/>
  <c r="A73" i="7"/>
  <c r="C6" i="6"/>
  <c r="S12" i="6"/>
  <c r="W12" i="6"/>
  <c r="Z12" i="6"/>
  <c r="A13" i="6"/>
  <c r="S13" i="6"/>
  <c r="V13" i="6"/>
  <c r="W13" i="6"/>
  <c r="Z13" i="6"/>
  <c r="A14" i="6"/>
  <c r="S14" i="6"/>
  <c r="V14" i="6"/>
  <c r="W14" i="6"/>
  <c r="Z14" i="6"/>
  <c r="A15" i="6"/>
  <c r="S15" i="6"/>
  <c r="V15" i="6"/>
  <c r="W15" i="6"/>
  <c r="Z15" i="6"/>
  <c r="A16" i="6"/>
  <c r="S16" i="6"/>
  <c r="V16" i="6"/>
  <c r="W16" i="6"/>
  <c r="Z16" i="6"/>
  <c r="A17" i="6"/>
  <c r="S17" i="6"/>
  <c r="V17" i="6"/>
  <c r="W17" i="6"/>
  <c r="Z17" i="6"/>
  <c r="A18" i="6"/>
  <c r="S18" i="6"/>
  <c r="V18" i="6"/>
  <c r="W18" i="6"/>
  <c r="Z18" i="6"/>
  <c r="A19" i="6"/>
  <c r="S19" i="6"/>
  <c r="V19" i="6"/>
  <c r="W19" i="6"/>
  <c r="Z19" i="6"/>
  <c r="A20" i="6"/>
  <c r="S20" i="6"/>
  <c r="V20" i="6"/>
  <c r="W20" i="6"/>
  <c r="Z20" i="6"/>
  <c r="A21" i="6"/>
  <c r="S21" i="6"/>
  <c r="V21" i="6"/>
  <c r="W21" i="6"/>
  <c r="Z21" i="6"/>
  <c r="A22" i="6"/>
  <c r="S22" i="6"/>
  <c r="V22" i="6"/>
  <c r="W22" i="6"/>
  <c r="Z22" i="6"/>
  <c r="A23" i="6"/>
  <c r="S23" i="6"/>
  <c r="V23" i="6"/>
  <c r="W23" i="6"/>
  <c r="Z23" i="6"/>
  <c r="A24" i="6"/>
  <c r="S24" i="6"/>
  <c r="V24" i="6"/>
  <c r="W24" i="6"/>
  <c r="Z24" i="6"/>
  <c r="A25" i="6"/>
  <c r="S25" i="6"/>
  <c r="V25" i="6"/>
  <c r="W25" i="6"/>
  <c r="Z25" i="6"/>
  <c r="A26" i="6"/>
  <c r="S26" i="6"/>
  <c r="V26" i="6"/>
  <c r="W26" i="6"/>
  <c r="Z26" i="6"/>
  <c r="A27" i="6"/>
  <c r="S27" i="6"/>
  <c r="V27" i="6"/>
  <c r="W27" i="6"/>
  <c r="Z27" i="6"/>
  <c r="A28" i="6"/>
  <c r="S28" i="6"/>
  <c r="V28" i="6"/>
  <c r="W28" i="6"/>
  <c r="Z28" i="6"/>
  <c r="A29" i="6"/>
  <c r="S29" i="6"/>
  <c r="V29" i="6"/>
  <c r="W29" i="6"/>
  <c r="Z29" i="6"/>
  <c r="A30" i="6"/>
  <c r="S30" i="6"/>
  <c r="V30" i="6"/>
  <c r="W30" i="6"/>
  <c r="Z30" i="6"/>
  <c r="A31" i="6"/>
  <c r="S31" i="6"/>
  <c r="V31" i="6"/>
  <c r="W31" i="6"/>
  <c r="Z31" i="6"/>
  <c r="A32" i="6"/>
  <c r="S32" i="6"/>
  <c r="V32" i="6"/>
  <c r="W32" i="6"/>
  <c r="Z32" i="6"/>
  <c r="A33" i="6"/>
  <c r="S33" i="6"/>
  <c r="V33" i="6"/>
  <c r="W33" i="6"/>
  <c r="Z33" i="6"/>
  <c r="A34" i="6"/>
  <c r="S34" i="6"/>
  <c r="V34" i="6"/>
  <c r="W34" i="6"/>
  <c r="Z34" i="6"/>
  <c r="A35" i="6"/>
  <c r="S35" i="6"/>
  <c r="V35" i="6"/>
  <c r="W35" i="6"/>
  <c r="Z35" i="6"/>
  <c r="A36" i="6"/>
  <c r="S36" i="6"/>
  <c r="V36" i="6"/>
  <c r="W36" i="6"/>
  <c r="Z36" i="6"/>
  <c r="A37" i="6"/>
  <c r="S37" i="6"/>
  <c r="V37" i="6"/>
  <c r="W37" i="6"/>
  <c r="Z37" i="6"/>
  <c r="A38" i="6"/>
  <c r="S38" i="6"/>
  <c r="V38" i="6"/>
  <c r="W38" i="6"/>
  <c r="Z38" i="6"/>
  <c r="A39" i="6"/>
  <c r="S39" i="6"/>
  <c r="V39" i="6"/>
  <c r="W39" i="6"/>
  <c r="Z39" i="6"/>
  <c r="A40" i="6"/>
  <c r="S40" i="6"/>
  <c r="V40" i="6"/>
  <c r="W40" i="6"/>
  <c r="Z40" i="6"/>
  <c r="A41" i="6"/>
  <c r="S41" i="6"/>
  <c r="V41" i="6"/>
  <c r="W41" i="6"/>
  <c r="Z41" i="6"/>
  <c r="A42" i="6"/>
  <c r="S42" i="6"/>
  <c r="V42" i="6"/>
  <c r="W42" i="6"/>
  <c r="Z42" i="6"/>
  <c r="A43" i="6"/>
  <c r="S43" i="6"/>
  <c r="V43" i="6"/>
  <c r="W43" i="6"/>
  <c r="Z43" i="6"/>
  <c r="A44" i="6"/>
  <c r="S44" i="6"/>
  <c r="V44" i="6"/>
  <c r="W44" i="6"/>
  <c r="Z44" i="6"/>
  <c r="A45" i="6"/>
  <c r="S45" i="6"/>
  <c r="V45" i="6"/>
  <c r="W45" i="6"/>
  <c r="Z45" i="6"/>
  <c r="A46" i="6"/>
  <c r="S46" i="6"/>
  <c r="V46" i="6"/>
  <c r="W46" i="6"/>
  <c r="Z46" i="6"/>
  <c r="A47" i="6"/>
  <c r="S47" i="6"/>
  <c r="V47" i="6"/>
  <c r="W47" i="6"/>
  <c r="Z47" i="6"/>
  <c r="A48" i="6"/>
  <c r="S48" i="6"/>
  <c r="V48" i="6"/>
  <c r="W48" i="6"/>
  <c r="Z48" i="6"/>
  <c r="A49" i="6"/>
  <c r="S49" i="6"/>
  <c r="V49" i="6"/>
  <c r="W49" i="6"/>
  <c r="Z49" i="6"/>
  <c r="A50" i="6"/>
  <c r="S50" i="6"/>
  <c r="V50" i="6"/>
  <c r="W50" i="6"/>
  <c r="Z50" i="6"/>
  <c r="A51" i="6"/>
  <c r="S51" i="6"/>
  <c r="V51" i="6"/>
  <c r="W51" i="6"/>
  <c r="Z51" i="6"/>
  <c r="A52" i="6"/>
  <c r="S52" i="6"/>
  <c r="V52" i="6"/>
  <c r="W52" i="6"/>
  <c r="Z52" i="6"/>
  <c r="A53" i="6"/>
  <c r="S53" i="6"/>
  <c r="V53" i="6"/>
  <c r="W53" i="6"/>
  <c r="Z53" i="6"/>
  <c r="W54" i="6"/>
  <c r="X54" i="6"/>
  <c r="Y54" i="6"/>
  <c r="Z54" i="6"/>
  <c r="C58" i="6"/>
  <c r="E58" i="6"/>
  <c r="C59" i="6"/>
  <c r="E59" i="6"/>
  <c r="K59" i="6"/>
  <c r="R59" i="6"/>
  <c r="S59" i="6"/>
  <c r="C60" i="6"/>
  <c r="E60" i="6"/>
  <c r="K60" i="6"/>
  <c r="R60" i="6"/>
  <c r="S60" i="6"/>
  <c r="C61" i="6"/>
  <c r="E61" i="6"/>
  <c r="K61" i="6"/>
  <c r="R61" i="6"/>
  <c r="S61" i="6"/>
  <c r="E62" i="6"/>
  <c r="K62" i="6"/>
  <c r="R62" i="6"/>
  <c r="S62" i="6"/>
  <c r="E63" i="6"/>
  <c r="K63" i="6"/>
  <c r="R63" i="6"/>
  <c r="S63" i="6"/>
  <c r="C64" i="6"/>
  <c r="E64" i="6"/>
  <c r="K64" i="6"/>
  <c r="C65" i="6"/>
  <c r="E65" i="6"/>
  <c r="K65" i="6"/>
  <c r="A69" i="6"/>
  <c r="A70" i="6"/>
  <c r="A71" i="6"/>
  <c r="A72" i="6"/>
  <c r="A73" i="6"/>
  <c r="A74" i="6"/>
  <c r="A75" i="6"/>
  <c r="A76" i="6"/>
  <c r="A77" i="6"/>
  <c r="C6" i="5"/>
  <c r="S12" i="5"/>
  <c r="W12" i="5"/>
  <c r="Z12" i="5"/>
  <c r="S13" i="5"/>
  <c r="W13" i="5"/>
  <c r="Z13" i="5"/>
  <c r="S14" i="5"/>
  <c r="W14" i="5"/>
  <c r="Z14" i="5"/>
  <c r="S15" i="5"/>
  <c r="W15" i="5"/>
  <c r="Z15" i="5"/>
  <c r="S16" i="5"/>
  <c r="W16" i="5"/>
  <c r="Z16" i="5"/>
  <c r="S17" i="5"/>
  <c r="W17" i="5"/>
  <c r="Z17" i="5"/>
  <c r="S18" i="5"/>
  <c r="W18" i="5"/>
  <c r="Z18" i="5"/>
  <c r="S19" i="5"/>
  <c r="W19" i="5"/>
  <c r="Z19" i="5"/>
  <c r="S20" i="5"/>
  <c r="W20" i="5"/>
  <c r="Z20" i="5"/>
  <c r="S21" i="5"/>
  <c r="W21" i="5"/>
  <c r="Z21" i="5"/>
  <c r="S22" i="5"/>
  <c r="W22" i="5"/>
  <c r="Z22" i="5"/>
  <c r="S23" i="5"/>
  <c r="W23" i="5"/>
  <c r="Z23" i="5"/>
  <c r="S24" i="5"/>
  <c r="W24" i="5"/>
  <c r="Z24" i="5"/>
  <c r="S25" i="5"/>
  <c r="W25" i="5"/>
  <c r="Z25" i="5"/>
  <c r="S26" i="5"/>
  <c r="W26" i="5"/>
  <c r="Z26" i="5"/>
  <c r="S27" i="5"/>
  <c r="W27" i="5"/>
  <c r="Z27" i="5"/>
  <c r="S28" i="5"/>
  <c r="W28" i="5"/>
  <c r="Z28" i="5"/>
  <c r="S29" i="5"/>
  <c r="W29" i="5"/>
  <c r="Z29" i="5"/>
  <c r="S30" i="5"/>
  <c r="W30" i="5"/>
  <c r="Z30" i="5"/>
  <c r="S31" i="5"/>
  <c r="W31" i="5"/>
  <c r="Z31" i="5"/>
  <c r="S32" i="5"/>
  <c r="W32" i="5"/>
  <c r="Z32" i="5"/>
  <c r="S33" i="5"/>
  <c r="W33" i="5"/>
  <c r="Z33" i="5"/>
  <c r="S34" i="5"/>
  <c r="W34" i="5"/>
  <c r="Z34" i="5"/>
  <c r="S35" i="5"/>
  <c r="W35" i="5"/>
  <c r="Z35" i="5"/>
  <c r="S36" i="5"/>
  <c r="W36" i="5"/>
  <c r="Z36" i="5"/>
  <c r="S37" i="5"/>
  <c r="W37" i="5"/>
  <c r="Z37" i="5"/>
  <c r="S38" i="5"/>
  <c r="W38" i="5"/>
  <c r="Z38" i="5"/>
  <c r="S39" i="5"/>
  <c r="W39" i="5"/>
  <c r="Z39" i="5"/>
  <c r="S40" i="5"/>
  <c r="W40" i="5"/>
  <c r="Z40" i="5"/>
  <c r="S41" i="5"/>
  <c r="W41" i="5"/>
  <c r="Z41" i="5"/>
  <c r="W42" i="5"/>
  <c r="X42" i="5"/>
  <c r="Y42" i="5"/>
  <c r="Z42" i="5"/>
  <c r="C46" i="5"/>
  <c r="E46" i="5"/>
  <c r="C47" i="5"/>
  <c r="E47" i="5"/>
  <c r="K47" i="5"/>
  <c r="R47" i="5"/>
  <c r="S47" i="5"/>
  <c r="C48" i="5"/>
  <c r="E48" i="5"/>
  <c r="K48" i="5"/>
  <c r="R48" i="5"/>
  <c r="S48" i="5"/>
  <c r="C49" i="5"/>
  <c r="E49" i="5"/>
  <c r="K49" i="5"/>
  <c r="R49" i="5"/>
  <c r="S49" i="5"/>
  <c r="E50" i="5"/>
  <c r="K50" i="5"/>
  <c r="R50" i="5"/>
  <c r="S50" i="5"/>
  <c r="E51" i="5"/>
  <c r="K51" i="5"/>
  <c r="R51" i="5"/>
  <c r="S51" i="5"/>
  <c r="C52" i="5"/>
  <c r="E52" i="5"/>
  <c r="K52" i="5"/>
  <c r="C53" i="5"/>
  <c r="E53" i="5"/>
  <c r="K53" i="5"/>
  <c r="A57" i="5"/>
  <c r="A58" i="5"/>
  <c r="A59" i="5"/>
  <c r="A60" i="5"/>
  <c r="A61" i="5"/>
  <c r="A62" i="5"/>
  <c r="A63" i="5"/>
  <c r="A64" i="5"/>
  <c r="A65" i="5"/>
  <c r="C6" i="4"/>
  <c r="S12" i="4"/>
  <c r="W12" i="4"/>
  <c r="C6" i="3"/>
  <c r="X12" i="4"/>
  <c r="AA12" i="4"/>
  <c r="A13" i="4"/>
  <c r="S13" i="4"/>
  <c r="V13" i="4"/>
  <c r="W13" i="4"/>
  <c r="X13" i="4"/>
  <c r="AA13" i="4"/>
  <c r="A14" i="4"/>
  <c r="S14" i="4"/>
  <c r="V14" i="4"/>
  <c r="W14" i="4"/>
  <c r="X14" i="4"/>
  <c r="AA14" i="4"/>
  <c r="A15" i="4"/>
  <c r="S15" i="4"/>
  <c r="V15" i="4"/>
  <c r="W15" i="4"/>
  <c r="X15" i="4"/>
  <c r="AA15" i="4"/>
  <c r="A16" i="4"/>
  <c r="S16" i="4"/>
  <c r="V16" i="4"/>
  <c r="W16" i="4"/>
  <c r="X16" i="4"/>
  <c r="AA16" i="4"/>
  <c r="A17" i="4"/>
  <c r="S17" i="4"/>
  <c r="V17" i="4"/>
  <c r="W17" i="4"/>
  <c r="X17" i="4"/>
  <c r="AA17" i="4"/>
  <c r="A18" i="4"/>
  <c r="S18" i="4"/>
  <c r="V18" i="4"/>
  <c r="W18" i="4"/>
  <c r="X18" i="4"/>
  <c r="AA18" i="4"/>
  <c r="A19" i="4"/>
  <c r="S19" i="4"/>
  <c r="V19" i="4"/>
  <c r="W19" i="4"/>
  <c r="X19" i="4"/>
  <c r="AA19" i="4"/>
  <c r="A20" i="4"/>
  <c r="S20" i="4"/>
  <c r="V20" i="4"/>
  <c r="W20" i="4"/>
  <c r="X20" i="4"/>
  <c r="AA20" i="4"/>
  <c r="A21" i="4"/>
  <c r="S21" i="4"/>
  <c r="V21" i="4"/>
  <c r="W21" i="4"/>
  <c r="X21" i="4"/>
  <c r="AA21" i="4"/>
  <c r="A22" i="4"/>
  <c r="S22" i="4"/>
  <c r="V22" i="4"/>
  <c r="W22" i="4"/>
  <c r="X22" i="4"/>
  <c r="AA22" i="4"/>
  <c r="A23" i="4"/>
  <c r="S23" i="4"/>
  <c r="V23" i="4"/>
  <c r="W23" i="4"/>
  <c r="X23" i="4"/>
  <c r="AA23" i="4"/>
  <c r="A24" i="4"/>
  <c r="S24" i="4"/>
  <c r="V24" i="4"/>
  <c r="W24" i="4"/>
  <c r="X24" i="4"/>
  <c r="AA24" i="4"/>
  <c r="A25" i="4"/>
  <c r="S25" i="4"/>
  <c r="V25" i="4"/>
  <c r="W25" i="4"/>
  <c r="X25" i="4"/>
  <c r="AA25" i="4"/>
  <c r="A26" i="4"/>
  <c r="S26" i="4"/>
  <c r="V26" i="4"/>
  <c r="W26" i="4"/>
  <c r="X26" i="4"/>
  <c r="AA26" i="4"/>
  <c r="A27" i="4"/>
  <c r="S27" i="4"/>
  <c r="V27" i="4"/>
  <c r="W27" i="4"/>
  <c r="X27" i="4"/>
  <c r="AA27" i="4"/>
  <c r="A28" i="4"/>
  <c r="S28" i="4"/>
  <c r="V28" i="4"/>
  <c r="W28" i="4"/>
  <c r="X28" i="4"/>
  <c r="AA28" i="4"/>
  <c r="A29" i="4"/>
  <c r="S29" i="4"/>
  <c r="V29" i="4"/>
  <c r="W29" i="4"/>
  <c r="X29" i="4"/>
  <c r="AA29" i="4"/>
  <c r="A30" i="4"/>
  <c r="S30" i="4"/>
  <c r="V30" i="4"/>
  <c r="W30" i="4"/>
  <c r="X30" i="4"/>
  <c r="AA30" i="4"/>
  <c r="A31" i="4"/>
  <c r="S31" i="4"/>
  <c r="V31" i="4"/>
  <c r="W31" i="4"/>
  <c r="X31" i="4"/>
  <c r="AA31" i="4"/>
  <c r="A32" i="4"/>
  <c r="S32" i="4"/>
  <c r="V32" i="4"/>
  <c r="W32" i="4"/>
  <c r="X32" i="4"/>
  <c r="AA32" i="4"/>
  <c r="A33" i="4"/>
  <c r="S33" i="4"/>
  <c r="V33" i="4"/>
  <c r="W33" i="4"/>
  <c r="X33" i="4"/>
  <c r="AA33" i="4"/>
  <c r="A34" i="4"/>
  <c r="S34" i="4"/>
  <c r="V34" i="4"/>
  <c r="W34" i="4"/>
  <c r="X34" i="4"/>
  <c r="AA34" i="4"/>
  <c r="A35" i="4"/>
  <c r="S35" i="4"/>
  <c r="V35" i="4"/>
  <c r="W35" i="4"/>
  <c r="X35" i="4"/>
  <c r="AA35" i="4"/>
  <c r="A36" i="4"/>
  <c r="S36" i="4"/>
  <c r="V36" i="4"/>
  <c r="W36" i="4"/>
  <c r="X36" i="4"/>
  <c r="AA36" i="4"/>
  <c r="A37" i="4"/>
  <c r="S37" i="4"/>
  <c r="V37" i="4"/>
  <c r="W37" i="4"/>
  <c r="X37" i="4"/>
  <c r="AA37" i="4"/>
  <c r="A38" i="4"/>
  <c r="S38" i="4"/>
  <c r="V38" i="4"/>
  <c r="W38" i="4"/>
  <c r="X38" i="4"/>
  <c r="AA38" i="4"/>
  <c r="A39" i="4"/>
  <c r="S39" i="4"/>
  <c r="V39" i="4"/>
  <c r="W39" i="4"/>
  <c r="X39" i="4"/>
  <c r="AA39" i="4"/>
  <c r="A40" i="4"/>
  <c r="S40" i="4"/>
  <c r="V40" i="4"/>
  <c r="W40" i="4"/>
  <c r="X40" i="4"/>
  <c r="AA40" i="4"/>
  <c r="A41" i="4"/>
  <c r="S41" i="4"/>
  <c r="V41" i="4"/>
  <c r="W41" i="4"/>
  <c r="X41" i="4"/>
  <c r="AA41" i="4"/>
  <c r="A42" i="4"/>
  <c r="S42" i="4"/>
  <c r="V42" i="4"/>
  <c r="W42" i="4"/>
  <c r="X42" i="4"/>
  <c r="AA42" i="4"/>
  <c r="A43" i="4"/>
  <c r="S43" i="4"/>
  <c r="V43" i="4"/>
  <c r="W43" i="4"/>
  <c r="X43" i="4"/>
  <c r="AA43" i="4"/>
  <c r="A44" i="4"/>
  <c r="S44" i="4"/>
  <c r="V44" i="4"/>
  <c r="W44" i="4"/>
  <c r="X44" i="4"/>
  <c r="AA44" i="4"/>
  <c r="A45" i="4"/>
  <c r="S45" i="4"/>
  <c r="V45" i="4"/>
  <c r="W45" i="4"/>
  <c r="X45" i="4"/>
  <c r="AA45" i="4"/>
  <c r="A46" i="4"/>
  <c r="S46" i="4"/>
  <c r="V46" i="4"/>
  <c r="W46" i="4"/>
  <c r="X46" i="4"/>
  <c r="AA46" i="4"/>
  <c r="A47" i="4"/>
  <c r="S47" i="4"/>
  <c r="V47" i="4"/>
  <c r="W47" i="4"/>
  <c r="X47" i="4"/>
  <c r="AA47" i="4"/>
  <c r="A48" i="4"/>
  <c r="S48" i="4"/>
  <c r="V48" i="4"/>
  <c r="W48" i="4"/>
  <c r="X48" i="4"/>
  <c r="AA48" i="4"/>
  <c r="AA49" i="4"/>
  <c r="C53" i="4"/>
  <c r="E53" i="4"/>
  <c r="C54" i="4"/>
  <c r="E54" i="4"/>
  <c r="K54" i="4"/>
  <c r="R54" i="4"/>
  <c r="S54" i="4"/>
  <c r="C55" i="4"/>
  <c r="E55" i="4"/>
  <c r="K55" i="4"/>
  <c r="R55" i="4"/>
  <c r="S55" i="4"/>
  <c r="C56" i="4"/>
  <c r="E56" i="4"/>
  <c r="K56" i="4"/>
  <c r="R56" i="4"/>
  <c r="S56" i="4"/>
  <c r="C57" i="4"/>
  <c r="E57" i="4"/>
  <c r="K57" i="4"/>
  <c r="R57" i="4"/>
  <c r="S57" i="4"/>
  <c r="C58" i="4"/>
  <c r="E58" i="4"/>
  <c r="K58" i="4"/>
  <c r="R58" i="4"/>
  <c r="S58" i="4"/>
  <c r="C59" i="4"/>
  <c r="E59" i="4"/>
  <c r="K59" i="4"/>
  <c r="C60" i="4"/>
  <c r="E60" i="4"/>
  <c r="K60" i="4"/>
  <c r="A64" i="4"/>
  <c r="A65" i="4"/>
  <c r="A66" i="4"/>
  <c r="A67" i="4"/>
  <c r="A68" i="4"/>
  <c r="A69" i="4"/>
  <c r="A70" i="4"/>
  <c r="A71" i="4"/>
  <c r="A72" i="4"/>
  <c r="S12" i="3"/>
  <c r="W12" i="3"/>
  <c r="X12" i="3"/>
  <c r="AA12" i="3"/>
  <c r="S13" i="3"/>
  <c r="W13" i="3"/>
  <c r="X13" i="3"/>
  <c r="AA13" i="3"/>
  <c r="S14" i="3"/>
  <c r="W14" i="3"/>
  <c r="X14" i="3"/>
  <c r="AA14" i="3"/>
  <c r="S15" i="3"/>
  <c r="W15" i="3"/>
  <c r="X15" i="3"/>
  <c r="AA15" i="3"/>
  <c r="S16" i="3"/>
  <c r="W16" i="3"/>
  <c r="X16" i="3"/>
  <c r="AA16" i="3"/>
  <c r="S17" i="3"/>
  <c r="W17" i="3"/>
  <c r="X17" i="3"/>
  <c r="AA17" i="3"/>
  <c r="S18" i="3"/>
  <c r="W18" i="3"/>
  <c r="X18" i="3"/>
  <c r="AA18" i="3"/>
  <c r="S19" i="3"/>
  <c r="W19" i="3"/>
  <c r="X19" i="3"/>
  <c r="AA19" i="3"/>
  <c r="S20" i="3"/>
  <c r="W20" i="3"/>
  <c r="X20" i="3"/>
  <c r="AA20" i="3"/>
  <c r="S21" i="3"/>
  <c r="W21" i="3"/>
  <c r="X21" i="3"/>
  <c r="AA21" i="3"/>
  <c r="S22" i="3"/>
  <c r="W22" i="3"/>
  <c r="X22" i="3"/>
  <c r="AA22" i="3"/>
  <c r="S23" i="3"/>
  <c r="W23" i="3"/>
  <c r="X23" i="3"/>
  <c r="AA23" i="3"/>
  <c r="S24" i="3"/>
  <c r="W24" i="3"/>
  <c r="X24" i="3"/>
  <c r="AA24" i="3"/>
  <c r="S25" i="3"/>
  <c r="W25" i="3"/>
  <c r="X25" i="3"/>
  <c r="AA25" i="3"/>
  <c r="S26" i="3"/>
  <c r="W26" i="3"/>
  <c r="X26" i="3"/>
  <c r="AA26" i="3"/>
  <c r="S27" i="3"/>
  <c r="W27" i="3"/>
  <c r="X27" i="3"/>
  <c r="AA27" i="3"/>
  <c r="S28" i="3"/>
  <c r="W28" i="3"/>
  <c r="X28" i="3"/>
  <c r="AA28" i="3"/>
  <c r="S29" i="3"/>
  <c r="W29" i="3"/>
  <c r="X29" i="3"/>
  <c r="AA29" i="3"/>
  <c r="S30" i="3"/>
  <c r="W30" i="3"/>
  <c r="X30" i="3"/>
  <c r="AA30" i="3"/>
  <c r="S31" i="3"/>
  <c r="W31" i="3"/>
  <c r="X31" i="3"/>
  <c r="AA31" i="3"/>
  <c r="S32" i="3"/>
  <c r="W32" i="3"/>
  <c r="X32" i="3"/>
  <c r="AA32" i="3"/>
  <c r="S33" i="3"/>
  <c r="W33" i="3"/>
  <c r="X33" i="3"/>
  <c r="AA33" i="3"/>
  <c r="S34" i="3"/>
  <c r="W34" i="3"/>
  <c r="X34" i="3"/>
  <c r="AA34" i="3"/>
  <c r="S35" i="3"/>
  <c r="W35" i="3"/>
  <c r="X35" i="3"/>
  <c r="AA35" i="3"/>
  <c r="S36" i="3"/>
  <c r="W36" i="3"/>
  <c r="X36" i="3"/>
  <c r="AA36" i="3"/>
  <c r="S37" i="3"/>
  <c r="W37" i="3"/>
  <c r="X37" i="3"/>
  <c r="AA37" i="3"/>
  <c r="S38" i="3"/>
  <c r="W38" i="3"/>
  <c r="X38" i="3"/>
  <c r="AA38" i="3"/>
  <c r="S39" i="3"/>
  <c r="W39" i="3"/>
  <c r="X39" i="3"/>
  <c r="AA39" i="3"/>
  <c r="S40" i="3"/>
  <c r="W40" i="3"/>
  <c r="X40" i="3"/>
  <c r="AA40" i="3"/>
  <c r="S41" i="3"/>
  <c r="W41" i="3"/>
  <c r="X41" i="3"/>
  <c r="AA41" i="3"/>
  <c r="S42" i="3"/>
  <c r="W42" i="3"/>
  <c r="X42" i="3"/>
  <c r="AA42" i="3"/>
  <c r="S43" i="3"/>
  <c r="W43" i="3"/>
  <c r="X43" i="3"/>
  <c r="AA43" i="3"/>
  <c r="S44" i="3"/>
  <c r="W44" i="3"/>
  <c r="X44" i="3"/>
  <c r="AA44" i="3"/>
  <c r="S45" i="3"/>
  <c r="W45" i="3"/>
  <c r="X45" i="3"/>
  <c r="AA45" i="3"/>
  <c r="S46" i="3"/>
  <c r="W46" i="3"/>
  <c r="X46" i="3"/>
  <c r="AA46" i="3"/>
  <c r="S47" i="3"/>
  <c r="W47" i="3"/>
  <c r="X47" i="3"/>
  <c r="AA47" i="3"/>
  <c r="S48" i="3"/>
  <c r="W48" i="3"/>
  <c r="X48" i="3"/>
  <c r="AA48" i="3"/>
  <c r="S49" i="3"/>
  <c r="W49" i="3"/>
  <c r="X49" i="3"/>
  <c r="AA49" i="3"/>
  <c r="S50" i="3"/>
  <c r="W50" i="3"/>
  <c r="X50" i="3"/>
  <c r="AA50" i="3"/>
  <c r="S51" i="3"/>
  <c r="W51" i="3"/>
  <c r="X51" i="3"/>
  <c r="AA51" i="3"/>
  <c r="S52" i="3"/>
  <c r="W52" i="3"/>
  <c r="X52" i="3"/>
  <c r="AA52" i="3"/>
  <c r="S53" i="3"/>
  <c r="W53" i="3"/>
  <c r="X53" i="3"/>
  <c r="AA53" i="3"/>
  <c r="S54" i="3"/>
  <c r="W54" i="3"/>
  <c r="X54" i="3"/>
  <c r="AA54" i="3"/>
  <c r="S55" i="3"/>
  <c r="W55" i="3"/>
  <c r="X55" i="3"/>
  <c r="AA55" i="3"/>
  <c r="S56" i="3"/>
  <c r="W56" i="3"/>
  <c r="X56" i="3"/>
  <c r="AA56" i="3"/>
  <c r="S57" i="3"/>
  <c r="W57" i="3"/>
  <c r="X57" i="3"/>
  <c r="AA57" i="3"/>
  <c r="S58" i="3"/>
  <c r="W58" i="3"/>
  <c r="X58" i="3"/>
  <c r="AA58" i="3"/>
  <c r="S59" i="3"/>
  <c r="W59" i="3"/>
  <c r="X59" i="3"/>
  <c r="AA59" i="3"/>
  <c r="S60" i="3"/>
  <c r="W60" i="3"/>
  <c r="X60" i="3"/>
  <c r="AA60" i="3"/>
  <c r="S61" i="3"/>
  <c r="W61" i="3"/>
  <c r="X61" i="3"/>
  <c r="AA61" i="3"/>
  <c r="S62" i="3"/>
  <c r="W62" i="3"/>
  <c r="X62" i="3"/>
  <c r="AA62" i="3"/>
  <c r="S63" i="3"/>
  <c r="W63" i="3"/>
  <c r="X63" i="3"/>
  <c r="AA63" i="3"/>
  <c r="S64" i="3"/>
  <c r="W64" i="3"/>
  <c r="X64" i="3"/>
  <c r="AA64" i="3"/>
  <c r="S65" i="3"/>
  <c r="W65" i="3"/>
  <c r="X65" i="3"/>
  <c r="AA65" i="3"/>
  <c r="S66" i="3"/>
  <c r="W66" i="3"/>
  <c r="X66" i="3"/>
  <c r="AA66" i="3"/>
  <c r="S67" i="3"/>
  <c r="W67" i="3"/>
  <c r="X67" i="3"/>
  <c r="AA67" i="3"/>
  <c r="S68" i="3"/>
  <c r="W68" i="3"/>
  <c r="X68" i="3"/>
  <c r="AA68" i="3"/>
  <c r="S69" i="3"/>
  <c r="W69" i="3"/>
  <c r="X69" i="3"/>
  <c r="AA69" i="3"/>
  <c r="S70" i="3"/>
  <c r="W70" i="3"/>
  <c r="X70" i="3"/>
  <c r="AA70" i="3"/>
  <c r="S71" i="3"/>
  <c r="W71" i="3"/>
  <c r="X71" i="3"/>
  <c r="AA71" i="3"/>
  <c r="S72" i="3"/>
  <c r="W72" i="3"/>
  <c r="X72" i="3"/>
  <c r="AA72" i="3"/>
  <c r="S73" i="3"/>
  <c r="W73" i="3"/>
  <c r="X73" i="3"/>
  <c r="AA73" i="3"/>
  <c r="S74" i="3"/>
  <c r="W74" i="3"/>
  <c r="X74" i="3"/>
  <c r="AA74" i="3"/>
  <c r="S75" i="3"/>
  <c r="W75" i="3"/>
  <c r="X75" i="3"/>
  <c r="AA75" i="3"/>
  <c r="S76" i="3"/>
  <c r="W76" i="3"/>
  <c r="X76" i="3"/>
  <c r="AA76" i="3"/>
  <c r="S77" i="3"/>
  <c r="W77" i="3"/>
  <c r="X77" i="3"/>
  <c r="AA77" i="3"/>
  <c r="S78" i="3"/>
  <c r="W78" i="3"/>
  <c r="X78" i="3"/>
  <c r="AA78" i="3"/>
  <c r="S79" i="3"/>
  <c r="W79" i="3"/>
  <c r="X79" i="3"/>
  <c r="AA79" i="3"/>
  <c r="S80" i="3"/>
  <c r="W80" i="3"/>
  <c r="X80" i="3"/>
  <c r="AA80" i="3"/>
  <c r="S81" i="3"/>
  <c r="W81" i="3"/>
  <c r="X81" i="3"/>
  <c r="AA81" i="3"/>
  <c r="S82" i="3"/>
  <c r="W82" i="3"/>
  <c r="X82" i="3"/>
  <c r="AA82" i="3"/>
  <c r="S83" i="3"/>
  <c r="W83" i="3"/>
  <c r="X83" i="3"/>
  <c r="AA83" i="3"/>
  <c r="S84" i="3"/>
  <c r="W84" i="3"/>
  <c r="X84" i="3"/>
  <c r="AA84" i="3"/>
  <c r="S85" i="3"/>
  <c r="W85" i="3"/>
  <c r="X85" i="3"/>
  <c r="AA85" i="3"/>
  <c r="S86" i="3"/>
  <c r="W86" i="3"/>
  <c r="X86" i="3"/>
  <c r="AA86" i="3"/>
  <c r="S87" i="3"/>
  <c r="W87" i="3"/>
  <c r="X87" i="3"/>
  <c r="AA87" i="3"/>
  <c r="S88" i="3"/>
  <c r="W88" i="3"/>
  <c r="X88" i="3"/>
  <c r="AA88" i="3"/>
  <c r="S89" i="3"/>
  <c r="W89" i="3"/>
  <c r="X89" i="3"/>
  <c r="AA89" i="3"/>
  <c r="S90" i="3"/>
  <c r="W90" i="3"/>
  <c r="X90" i="3"/>
  <c r="AA90" i="3"/>
  <c r="S91" i="3"/>
  <c r="W91" i="3"/>
  <c r="X91" i="3"/>
  <c r="AA91" i="3"/>
  <c r="S92" i="3"/>
  <c r="W92" i="3"/>
  <c r="X92" i="3"/>
  <c r="AA92" i="3"/>
  <c r="S93" i="3"/>
  <c r="W93" i="3"/>
  <c r="X93" i="3"/>
  <c r="AA93" i="3"/>
  <c r="S94" i="3"/>
  <c r="W94" i="3"/>
  <c r="X94" i="3"/>
  <c r="AA94" i="3"/>
  <c r="S95" i="3"/>
  <c r="W95" i="3"/>
  <c r="X95" i="3"/>
  <c r="AA95" i="3"/>
  <c r="S96" i="3"/>
  <c r="W96" i="3"/>
  <c r="X96" i="3"/>
  <c r="AA96" i="3"/>
  <c r="S97" i="3"/>
  <c r="W97" i="3"/>
  <c r="X97" i="3"/>
  <c r="AA97" i="3"/>
  <c r="S98" i="3"/>
  <c r="W98" i="3"/>
  <c r="X98" i="3"/>
  <c r="AA98" i="3"/>
  <c r="S99" i="3"/>
  <c r="W99" i="3"/>
  <c r="X99" i="3"/>
  <c r="AA99" i="3"/>
  <c r="S100" i="3"/>
  <c r="W100" i="3"/>
  <c r="X100" i="3"/>
  <c r="AA100" i="3"/>
  <c r="S101" i="3"/>
  <c r="W101" i="3"/>
  <c r="X101" i="3"/>
  <c r="AA101" i="3"/>
  <c r="S102" i="3"/>
  <c r="W102" i="3"/>
  <c r="X102" i="3"/>
  <c r="AA102" i="3"/>
  <c r="S103" i="3"/>
  <c r="W103" i="3"/>
  <c r="X103" i="3"/>
  <c r="AA103" i="3"/>
  <c r="S104" i="3"/>
  <c r="W104" i="3"/>
  <c r="X104" i="3"/>
  <c r="AA104" i="3"/>
  <c r="S105" i="3"/>
  <c r="W105" i="3"/>
  <c r="X105" i="3"/>
  <c r="AA105" i="3"/>
  <c r="S106" i="3"/>
  <c r="W106" i="3"/>
  <c r="X106" i="3"/>
  <c r="AA106" i="3"/>
  <c r="S107" i="3"/>
  <c r="W107" i="3"/>
  <c r="X107" i="3"/>
  <c r="AA107" i="3"/>
  <c r="S108" i="3"/>
  <c r="W108" i="3"/>
  <c r="X108" i="3"/>
  <c r="AA108" i="3"/>
  <c r="S109" i="3"/>
  <c r="W109" i="3"/>
  <c r="X109" i="3"/>
  <c r="AA109" i="3"/>
  <c r="S110" i="3"/>
  <c r="W110" i="3"/>
  <c r="X110" i="3"/>
  <c r="AA110" i="3"/>
  <c r="S111" i="3"/>
  <c r="W111" i="3"/>
  <c r="X111" i="3"/>
  <c r="AA111" i="3"/>
  <c r="S112" i="3"/>
  <c r="W112" i="3"/>
  <c r="X112" i="3"/>
  <c r="AA112" i="3"/>
  <c r="S113" i="3"/>
  <c r="W113" i="3"/>
  <c r="X113" i="3"/>
  <c r="AA113" i="3"/>
  <c r="S114" i="3"/>
  <c r="W114" i="3"/>
  <c r="X114" i="3"/>
  <c r="AA114" i="3"/>
  <c r="S115" i="3"/>
  <c r="W115" i="3"/>
  <c r="X115" i="3"/>
  <c r="AA115" i="3"/>
  <c r="S116" i="3"/>
  <c r="W116" i="3"/>
  <c r="X116" i="3"/>
  <c r="AA116" i="3"/>
  <c r="S117" i="3"/>
  <c r="W117" i="3"/>
  <c r="X117" i="3"/>
  <c r="AA117" i="3"/>
  <c r="S118" i="3"/>
  <c r="W118" i="3"/>
  <c r="X118" i="3"/>
  <c r="AA118" i="3"/>
  <c r="S119" i="3"/>
  <c r="W119" i="3"/>
  <c r="X119" i="3"/>
  <c r="AA119" i="3"/>
  <c r="S120" i="3"/>
  <c r="W120" i="3"/>
  <c r="X120" i="3"/>
  <c r="AA120" i="3"/>
  <c r="S121" i="3"/>
  <c r="W121" i="3"/>
  <c r="X121" i="3"/>
  <c r="AA121" i="3"/>
  <c r="S122" i="3"/>
  <c r="W122" i="3"/>
  <c r="X122" i="3"/>
  <c r="AA122" i="3"/>
  <c r="S123" i="3"/>
  <c r="W123" i="3"/>
  <c r="X123" i="3"/>
  <c r="AA123" i="3"/>
  <c r="S124" i="3"/>
  <c r="W124" i="3"/>
  <c r="X124" i="3"/>
  <c r="AA124" i="3"/>
  <c r="S125" i="3"/>
  <c r="W125" i="3"/>
  <c r="X125" i="3"/>
  <c r="AA125" i="3"/>
  <c r="S126" i="3"/>
  <c r="W126" i="3"/>
  <c r="X126" i="3"/>
  <c r="AA126" i="3"/>
  <c r="S127" i="3"/>
  <c r="W127" i="3"/>
  <c r="X127" i="3"/>
  <c r="AA127" i="3"/>
  <c r="S128" i="3"/>
  <c r="W128" i="3"/>
  <c r="X128" i="3"/>
  <c r="AA128" i="3"/>
  <c r="S129" i="3"/>
  <c r="W129" i="3"/>
  <c r="X129" i="3"/>
  <c r="AA129" i="3"/>
  <c r="S130" i="3"/>
  <c r="W130" i="3"/>
  <c r="X130" i="3"/>
  <c r="AA130" i="3"/>
  <c r="S131" i="3"/>
  <c r="W131" i="3"/>
  <c r="X131" i="3"/>
  <c r="AA131" i="3"/>
  <c r="S132" i="3"/>
  <c r="W132" i="3"/>
  <c r="X132" i="3"/>
  <c r="AA132" i="3"/>
  <c r="S133" i="3"/>
  <c r="W133" i="3"/>
  <c r="X133" i="3"/>
  <c r="AA133" i="3"/>
  <c r="S134" i="3"/>
  <c r="W134" i="3"/>
  <c r="X134" i="3"/>
  <c r="AA134" i="3"/>
  <c r="S135" i="3"/>
  <c r="W135" i="3"/>
  <c r="X135" i="3"/>
  <c r="AA135" i="3"/>
  <c r="S136" i="3"/>
  <c r="W136" i="3"/>
  <c r="X136" i="3"/>
  <c r="AA136" i="3"/>
  <c r="S137" i="3"/>
  <c r="W137" i="3"/>
  <c r="X137" i="3"/>
  <c r="AA137" i="3"/>
  <c r="S138" i="3"/>
  <c r="W138" i="3"/>
  <c r="X138" i="3"/>
  <c r="AA138" i="3"/>
  <c r="S139" i="3"/>
  <c r="W139" i="3"/>
  <c r="X139" i="3"/>
  <c r="AA139" i="3"/>
  <c r="S140" i="3"/>
  <c r="W140" i="3"/>
  <c r="X140" i="3"/>
  <c r="AA140" i="3"/>
  <c r="S141" i="3"/>
  <c r="W141" i="3"/>
  <c r="X141" i="3"/>
  <c r="AA141" i="3"/>
  <c r="S142" i="3"/>
  <c r="W142" i="3"/>
  <c r="X142" i="3"/>
  <c r="AA142" i="3"/>
  <c r="S143" i="3"/>
  <c r="W143" i="3"/>
  <c r="X143" i="3"/>
  <c r="AA143" i="3"/>
  <c r="S144" i="3"/>
  <c r="W144" i="3"/>
  <c r="X144" i="3"/>
  <c r="AA144" i="3"/>
  <c r="S145" i="3"/>
  <c r="W145" i="3"/>
  <c r="X145" i="3"/>
  <c r="AA145" i="3"/>
  <c r="S146" i="3"/>
  <c r="W146" i="3"/>
  <c r="X146" i="3"/>
  <c r="AA146" i="3"/>
  <c r="S147" i="3"/>
  <c r="W147" i="3"/>
  <c r="X147" i="3"/>
  <c r="AA147" i="3"/>
  <c r="S148" i="3"/>
  <c r="W148" i="3"/>
  <c r="X148" i="3"/>
  <c r="AA148" i="3"/>
  <c r="S149" i="3"/>
  <c r="W149" i="3"/>
  <c r="X149" i="3"/>
  <c r="AA149" i="3"/>
  <c r="S150" i="3"/>
  <c r="W150" i="3"/>
  <c r="X150" i="3"/>
  <c r="AA150" i="3"/>
  <c r="S151" i="3"/>
  <c r="W151" i="3"/>
  <c r="X151" i="3"/>
  <c r="AA151" i="3"/>
  <c r="S152" i="3"/>
  <c r="W152" i="3"/>
  <c r="X152" i="3"/>
  <c r="AA152" i="3"/>
  <c r="S153" i="3"/>
  <c r="W153" i="3"/>
  <c r="X153" i="3"/>
  <c r="AA153" i="3"/>
  <c r="S154" i="3"/>
  <c r="W154" i="3"/>
  <c r="X154" i="3"/>
  <c r="AA154" i="3"/>
  <c r="S155" i="3"/>
  <c r="W155" i="3"/>
  <c r="X155" i="3"/>
  <c r="AA155" i="3"/>
  <c r="S156" i="3"/>
  <c r="W156" i="3"/>
  <c r="X156" i="3"/>
  <c r="AA156" i="3"/>
  <c r="S157" i="3"/>
  <c r="W157" i="3"/>
  <c r="X157" i="3"/>
  <c r="AA157" i="3"/>
  <c r="S158" i="3"/>
  <c r="W158" i="3"/>
  <c r="X158" i="3"/>
  <c r="AA158" i="3"/>
  <c r="S159" i="3"/>
  <c r="W159" i="3"/>
  <c r="X159" i="3"/>
  <c r="AA159" i="3"/>
  <c r="S160" i="3"/>
  <c r="W160" i="3"/>
  <c r="X160" i="3"/>
  <c r="AA160" i="3"/>
  <c r="S161" i="3"/>
  <c r="W161" i="3"/>
  <c r="X161" i="3"/>
  <c r="AA161" i="3"/>
  <c r="S162" i="3"/>
  <c r="W162" i="3"/>
  <c r="X162" i="3"/>
  <c r="AA162" i="3"/>
  <c r="S163" i="3"/>
  <c r="W163" i="3"/>
  <c r="X163" i="3"/>
  <c r="AA163" i="3"/>
  <c r="S164" i="3"/>
  <c r="W164" i="3"/>
  <c r="X164" i="3"/>
  <c r="AA164" i="3"/>
  <c r="S165" i="3"/>
  <c r="W165" i="3"/>
  <c r="X165" i="3"/>
  <c r="AA165" i="3"/>
  <c r="X166" i="3"/>
  <c r="Y166" i="3"/>
  <c r="Z166" i="3"/>
  <c r="AA166" i="3"/>
  <c r="C170" i="3"/>
  <c r="E170" i="3"/>
  <c r="C171" i="3"/>
  <c r="E171" i="3"/>
  <c r="K171" i="3"/>
  <c r="R171" i="3"/>
  <c r="S171" i="3"/>
  <c r="C172" i="3"/>
  <c r="E172" i="3"/>
  <c r="K172" i="3"/>
  <c r="R172" i="3"/>
  <c r="S172" i="3"/>
  <c r="C173" i="3"/>
  <c r="E173" i="3"/>
  <c r="K173" i="3"/>
  <c r="R173" i="3"/>
  <c r="S173" i="3"/>
  <c r="C174" i="3"/>
  <c r="E174" i="3"/>
  <c r="K174" i="3"/>
  <c r="R174" i="3"/>
  <c r="S174" i="3"/>
  <c r="C175" i="3"/>
  <c r="E175" i="3"/>
  <c r="K175" i="3"/>
  <c r="R175" i="3"/>
  <c r="S175" i="3"/>
  <c r="C176" i="3"/>
  <c r="E176" i="3"/>
  <c r="K176" i="3"/>
  <c r="C177" i="3"/>
  <c r="E177" i="3"/>
  <c r="K177" i="3"/>
  <c r="A181" i="3"/>
  <c r="A182" i="3"/>
  <c r="A183" i="3"/>
  <c r="A184" i="3"/>
  <c r="A185" i="3"/>
  <c r="A186" i="3"/>
  <c r="A187" i="3"/>
  <c r="A188" i="3"/>
  <c r="A189" i="3"/>
  <c r="C6" i="2"/>
  <c r="S12" i="2"/>
  <c r="X12" i="2"/>
  <c r="AA12" i="2"/>
  <c r="S13" i="2"/>
  <c r="X13" i="2"/>
  <c r="AA13" i="2"/>
  <c r="S14" i="2"/>
  <c r="X14" i="2"/>
  <c r="AA14" i="2"/>
  <c r="S15" i="2"/>
  <c r="X15" i="2"/>
  <c r="AA15" i="2"/>
  <c r="S16" i="2"/>
  <c r="X16" i="2"/>
  <c r="AA16" i="2"/>
  <c r="S17" i="2"/>
  <c r="X17" i="2"/>
  <c r="AA17" i="2"/>
  <c r="S18" i="2"/>
  <c r="X18" i="2"/>
  <c r="AA18" i="2"/>
  <c r="S19" i="2"/>
  <c r="X19" i="2"/>
  <c r="AA19" i="2"/>
  <c r="S20" i="2"/>
  <c r="X20" i="2"/>
  <c r="AA20" i="2"/>
  <c r="S21" i="2"/>
  <c r="X21" i="2"/>
  <c r="AA21" i="2"/>
  <c r="S22" i="2"/>
  <c r="X22" i="2"/>
  <c r="AA22" i="2"/>
  <c r="S23" i="2"/>
  <c r="X23" i="2"/>
  <c r="AA23" i="2"/>
  <c r="S24" i="2"/>
  <c r="X24" i="2"/>
  <c r="AA24" i="2"/>
  <c r="S25" i="2"/>
  <c r="X25" i="2"/>
  <c r="AA25" i="2"/>
  <c r="S26" i="2"/>
  <c r="X26" i="2"/>
  <c r="AA26" i="2"/>
  <c r="S27" i="2"/>
  <c r="X27" i="2"/>
  <c r="AA27" i="2"/>
  <c r="S28" i="2"/>
  <c r="X28" i="2"/>
  <c r="AA28" i="2"/>
  <c r="S29" i="2"/>
  <c r="X29" i="2"/>
  <c r="AA29" i="2"/>
  <c r="S30" i="2"/>
  <c r="X30" i="2"/>
  <c r="AA30" i="2"/>
  <c r="S31" i="2"/>
  <c r="X31" i="2"/>
  <c r="AA31" i="2"/>
  <c r="S32" i="2"/>
  <c r="X32" i="2"/>
  <c r="AA32" i="2"/>
  <c r="S33" i="2"/>
  <c r="X33" i="2"/>
  <c r="AA33" i="2"/>
  <c r="S34" i="2"/>
  <c r="X34" i="2"/>
  <c r="AA34" i="2"/>
  <c r="S35" i="2"/>
  <c r="X35" i="2"/>
  <c r="AA35" i="2"/>
  <c r="S36" i="2"/>
  <c r="X36" i="2"/>
  <c r="AA36" i="2"/>
  <c r="S37" i="2"/>
  <c r="X37" i="2"/>
  <c r="AA37" i="2"/>
  <c r="S38" i="2"/>
  <c r="X38" i="2"/>
  <c r="AA38" i="2"/>
  <c r="S39" i="2"/>
  <c r="X39" i="2"/>
  <c r="AA39" i="2"/>
  <c r="S40" i="2"/>
  <c r="X40" i="2"/>
  <c r="AA40" i="2"/>
  <c r="Y41" i="2"/>
  <c r="Z41" i="2"/>
  <c r="AA41" i="2"/>
  <c r="C45" i="2"/>
  <c r="E45" i="2"/>
  <c r="C46" i="2"/>
  <c r="E46" i="2"/>
  <c r="K46" i="2"/>
  <c r="R46" i="2"/>
  <c r="S46" i="2"/>
  <c r="C47" i="2"/>
  <c r="E47" i="2"/>
  <c r="K47" i="2"/>
  <c r="R47" i="2"/>
  <c r="S47" i="2"/>
  <c r="C48" i="2"/>
  <c r="E48" i="2"/>
  <c r="K48" i="2"/>
  <c r="R48" i="2"/>
  <c r="S48" i="2"/>
  <c r="C49" i="2"/>
  <c r="E49" i="2"/>
  <c r="K49" i="2"/>
  <c r="R49" i="2"/>
  <c r="S49" i="2"/>
  <c r="C50" i="2"/>
  <c r="E50" i="2"/>
  <c r="K50" i="2"/>
  <c r="R50" i="2"/>
  <c r="S50" i="2"/>
  <c r="C51" i="2"/>
  <c r="E51" i="2"/>
  <c r="K51" i="2"/>
  <c r="C52" i="2"/>
  <c r="E52" i="2"/>
  <c r="K52" i="2"/>
  <c r="A56" i="2"/>
  <c r="A57" i="2"/>
  <c r="A58" i="2"/>
  <c r="A59" i="2"/>
  <c r="A60" i="2"/>
  <c r="C6" i="1"/>
  <c r="S12" i="1"/>
  <c r="X12" i="1"/>
  <c r="AA12" i="1"/>
  <c r="S13" i="1"/>
  <c r="W13" i="1"/>
  <c r="X13" i="1"/>
  <c r="AA13" i="1"/>
  <c r="S14" i="1"/>
  <c r="W14" i="1"/>
  <c r="X14" i="1"/>
  <c r="AA14" i="1"/>
  <c r="S15" i="1"/>
  <c r="W15" i="1"/>
  <c r="X15" i="1"/>
  <c r="AA15" i="1"/>
  <c r="S16" i="1"/>
  <c r="W16" i="1"/>
  <c r="X16" i="1"/>
  <c r="AA16" i="1"/>
  <c r="S17" i="1"/>
  <c r="W17" i="1"/>
  <c r="X17" i="1"/>
  <c r="AA17" i="1"/>
  <c r="S18" i="1"/>
  <c r="W18" i="1"/>
  <c r="X18" i="1"/>
  <c r="AA18" i="1"/>
  <c r="S19" i="1"/>
  <c r="W19" i="1"/>
  <c r="X19" i="1"/>
  <c r="AA19" i="1"/>
  <c r="S20" i="1"/>
  <c r="W20" i="1"/>
  <c r="X20" i="1"/>
  <c r="AA20" i="1"/>
  <c r="S21" i="1"/>
  <c r="W21" i="1"/>
  <c r="X21" i="1"/>
  <c r="AA21" i="1"/>
  <c r="S22" i="1"/>
  <c r="W22" i="1"/>
  <c r="X22" i="1"/>
  <c r="AA22" i="1"/>
  <c r="S23" i="1"/>
  <c r="W23" i="1"/>
  <c r="X23" i="1"/>
  <c r="AA23" i="1"/>
  <c r="S24" i="1"/>
  <c r="W24" i="1"/>
  <c r="X24" i="1"/>
  <c r="AA24" i="1"/>
  <c r="S25" i="1"/>
  <c r="W25" i="1"/>
  <c r="X25" i="1"/>
  <c r="AA25" i="1"/>
  <c r="S26" i="1"/>
  <c r="W26" i="1"/>
  <c r="X26" i="1"/>
  <c r="AA26" i="1"/>
  <c r="S27" i="1"/>
  <c r="W27" i="1"/>
  <c r="X27" i="1"/>
  <c r="AA27" i="1"/>
  <c r="S28" i="1"/>
  <c r="W28" i="1"/>
  <c r="X28" i="1"/>
  <c r="AA28" i="1"/>
  <c r="S29" i="1"/>
  <c r="W29" i="1"/>
  <c r="X29" i="1"/>
  <c r="AA29" i="1"/>
  <c r="S30" i="1"/>
  <c r="W30" i="1"/>
  <c r="X30" i="1"/>
  <c r="AA30" i="1"/>
  <c r="S31" i="1"/>
  <c r="W31" i="1"/>
  <c r="X31" i="1"/>
  <c r="AA31" i="1"/>
  <c r="S32" i="1"/>
  <c r="W32" i="1"/>
  <c r="X32" i="1"/>
  <c r="AA32" i="1"/>
  <c r="S33" i="1"/>
  <c r="W33" i="1"/>
  <c r="X33" i="1"/>
  <c r="AA33" i="1"/>
  <c r="S34" i="1"/>
  <c r="W34" i="1"/>
  <c r="X34" i="1"/>
  <c r="AA34" i="1"/>
  <c r="S35" i="1"/>
  <c r="W35" i="1"/>
  <c r="X35" i="1"/>
  <c r="AA35" i="1"/>
  <c r="S36" i="1"/>
  <c r="W36" i="1"/>
  <c r="X36" i="1"/>
  <c r="AA36" i="1"/>
  <c r="S37" i="1"/>
  <c r="W37" i="1"/>
  <c r="X37" i="1"/>
  <c r="AA37" i="1"/>
  <c r="S38" i="1"/>
  <c r="W38" i="1"/>
  <c r="X38" i="1"/>
  <c r="AA38" i="1"/>
  <c r="S39" i="1"/>
  <c r="W39" i="1"/>
  <c r="X39" i="1"/>
  <c r="AA39" i="1"/>
  <c r="S40" i="1"/>
  <c r="W40" i="1"/>
  <c r="X40" i="1"/>
  <c r="AA40" i="1"/>
  <c r="S41" i="1"/>
  <c r="W41" i="1"/>
  <c r="X41" i="1"/>
  <c r="AA41" i="1"/>
  <c r="S42" i="1"/>
  <c r="W42" i="1"/>
  <c r="X42" i="1"/>
  <c r="AA42" i="1"/>
  <c r="S43" i="1"/>
  <c r="W43" i="1"/>
  <c r="X43" i="1"/>
  <c r="AA43" i="1"/>
  <c r="S44" i="1"/>
  <c r="W44" i="1"/>
  <c r="X44" i="1"/>
  <c r="AA44" i="1"/>
  <c r="S45" i="1"/>
  <c r="W45" i="1"/>
  <c r="X45" i="1"/>
  <c r="AA45" i="1"/>
  <c r="S46" i="1"/>
  <c r="W46" i="1"/>
  <c r="X46" i="1"/>
  <c r="AA46" i="1"/>
  <c r="S47" i="1"/>
  <c r="W47" i="1"/>
  <c r="X47" i="1"/>
  <c r="AA47" i="1"/>
  <c r="S48" i="1"/>
  <c r="W48" i="1"/>
  <c r="X48" i="1"/>
  <c r="AA48" i="1"/>
  <c r="S49" i="1"/>
  <c r="W49" i="1"/>
  <c r="X49" i="1"/>
  <c r="AA49" i="1"/>
  <c r="S50" i="1"/>
  <c r="W50" i="1"/>
  <c r="X50" i="1"/>
  <c r="AA50" i="1"/>
  <c r="S51" i="1"/>
  <c r="W51" i="1"/>
  <c r="X51" i="1"/>
  <c r="AA51" i="1"/>
  <c r="S52" i="1"/>
  <c r="W52" i="1"/>
  <c r="X52" i="1"/>
  <c r="AA52" i="1"/>
  <c r="S53" i="1"/>
  <c r="W53" i="1"/>
  <c r="X53" i="1"/>
  <c r="AA53" i="1"/>
  <c r="S54" i="1"/>
  <c r="W54" i="1"/>
  <c r="X54" i="1"/>
  <c r="AA54" i="1"/>
  <c r="S55" i="1"/>
  <c r="W55" i="1"/>
  <c r="X55" i="1"/>
  <c r="AA55" i="1"/>
  <c r="S56" i="1"/>
  <c r="W56" i="1"/>
  <c r="X56" i="1"/>
  <c r="AA56" i="1"/>
  <c r="S57" i="1"/>
  <c r="W57" i="1"/>
  <c r="X57" i="1"/>
  <c r="AA57" i="1"/>
  <c r="S58" i="1"/>
  <c r="W58" i="1"/>
  <c r="X58" i="1"/>
  <c r="AA58" i="1"/>
  <c r="S59" i="1"/>
  <c r="W59" i="1"/>
  <c r="X59" i="1"/>
  <c r="AA59" i="1"/>
  <c r="S60" i="1"/>
  <c r="W60" i="1"/>
  <c r="X60" i="1"/>
  <c r="AA60" i="1"/>
  <c r="S61" i="1"/>
  <c r="W61" i="1"/>
  <c r="X61" i="1"/>
  <c r="AA61" i="1"/>
  <c r="S62" i="1"/>
  <c r="W62" i="1"/>
  <c r="X62" i="1"/>
  <c r="AA62" i="1"/>
  <c r="S63" i="1"/>
  <c r="W63" i="1"/>
  <c r="X63" i="1"/>
  <c r="AA63" i="1"/>
  <c r="S64" i="1"/>
  <c r="W64" i="1"/>
  <c r="X64" i="1"/>
  <c r="AA64" i="1"/>
  <c r="S65" i="1"/>
  <c r="W65" i="1"/>
  <c r="X65" i="1"/>
  <c r="AA65" i="1"/>
  <c r="Y66" i="1"/>
  <c r="Z66" i="1"/>
  <c r="AA66" i="1"/>
  <c r="C70" i="1"/>
  <c r="E70" i="1"/>
  <c r="C71" i="1"/>
  <c r="E71" i="1"/>
  <c r="K71" i="1"/>
  <c r="R71" i="1"/>
  <c r="S71" i="1"/>
  <c r="C72" i="1"/>
  <c r="E72" i="1"/>
  <c r="K72" i="1"/>
  <c r="R72" i="1"/>
  <c r="S72" i="1"/>
  <c r="C73" i="1"/>
  <c r="E73" i="1"/>
  <c r="K73" i="1"/>
  <c r="R73" i="1"/>
  <c r="S73" i="1"/>
  <c r="C74" i="1"/>
  <c r="E74" i="1"/>
  <c r="K74" i="1"/>
  <c r="R74" i="1"/>
  <c r="S74" i="1"/>
  <c r="C75" i="1"/>
  <c r="E75" i="1"/>
  <c r="K75" i="1"/>
  <c r="R75" i="1"/>
  <c r="S75" i="1"/>
  <c r="C76" i="1"/>
  <c r="E76" i="1"/>
  <c r="K76" i="1"/>
  <c r="C77" i="1"/>
  <c r="E77" i="1"/>
  <c r="K77" i="1"/>
  <c r="E82" i="37"/>
  <c r="E83" i="37"/>
</calcChain>
</file>

<file path=xl/sharedStrings.xml><?xml version="1.0" encoding="utf-8"?>
<sst xmlns="http://schemas.openxmlformats.org/spreadsheetml/2006/main" count="2246" uniqueCount="272">
  <si>
    <t>More</t>
  </si>
  <si>
    <t>Frequency</t>
  </si>
  <si>
    <t>Bin</t>
  </si>
  <si>
    <t>Bins</t>
  </si>
  <si>
    <t>- deviation</t>
  </si>
  <si>
    <t>+ deviation</t>
  </si>
  <si>
    <t>-1 sigma</t>
  </si>
  <si>
    <t>+ 1 sigma</t>
  </si>
  <si>
    <t>sigma</t>
  </si>
  <si>
    <t>mean</t>
  </si>
  <si>
    <t>mode</t>
  </si>
  <si>
    <t>nominal</t>
  </si>
  <si>
    <t>Density</t>
  </si>
  <si>
    <t>Weight</t>
  </si>
  <si>
    <t>Width</t>
  </si>
  <si>
    <t>Thickness</t>
  </si>
  <si>
    <t>Length</t>
  </si>
  <si>
    <t>Statistics</t>
  </si>
  <si>
    <t>totals</t>
  </si>
  <si>
    <t>-Y</t>
  </si>
  <si>
    <t>M</t>
  </si>
  <si>
    <t>+Y</t>
  </si>
  <si>
    <t>Y</t>
  </si>
  <si>
    <t>S SHAPE</t>
  </si>
  <si>
    <t>b/c of curvature</t>
  </si>
  <si>
    <t>TOP IS BOTH</t>
  </si>
  <si>
    <t>thickness</t>
  </si>
  <si>
    <t>Cuts</t>
  </si>
  <si>
    <t>Curvature?</t>
  </si>
  <si>
    <t>Length?</t>
  </si>
  <si>
    <t>width &lt; 27mm?</t>
  </si>
  <si>
    <t>Y w/in 10%?    0=Yes</t>
  </si>
  <si>
    <t>Num</t>
  </si>
  <si>
    <t>shipment</t>
  </si>
  <si>
    <t>density</t>
  </si>
  <si>
    <t>weight</t>
  </si>
  <si>
    <t>Concavity</t>
  </si>
  <si>
    <t>X curvature</t>
  </si>
  <si>
    <t>Z: Width</t>
  </si>
  <si>
    <t>Y: Thickness</t>
  </si>
  <si>
    <t>X: length</t>
  </si>
  <si>
    <t>Visual</t>
  </si>
  <si>
    <t>Rejection</t>
  </si>
  <si>
    <t>Data</t>
  </si>
  <si>
    <t>A Slats:</t>
  </si>
  <si>
    <t>mm</t>
  </si>
  <si>
    <t>in</t>
  </si>
  <si>
    <t>Sheet 3: Measurements</t>
  </si>
  <si>
    <t xml:space="preserve">Tungsten Testing </t>
  </si>
  <si>
    <t xml:space="preserve">GRIPS slats </t>
  </si>
  <si>
    <t>TWISTED</t>
  </si>
  <si>
    <t>Curv?</t>
  </si>
  <si>
    <t>Y w/in 10%?0=Yes</t>
  </si>
  <si>
    <t>concavity</t>
  </si>
  <si>
    <t>Data:</t>
  </si>
  <si>
    <t>- max deviation</t>
  </si>
  <si>
    <t>* w/o 1st batch outlier</t>
  </si>
  <si>
    <t>+ max deviation</t>
  </si>
  <si>
    <t>gradient</t>
  </si>
  <si>
    <t>dent xz,y</t>
  </si>
  <si>
    <t>dent in xz,-y</t>
  </si>
  <si>
    <t>curv</t>
  </si>
  <si>
    <t>edge at xy,-z</t>
  </si>
  <si>
    <t>width</t>
  </si>
  <si>
    <t>1st batch</t>
  </si>
  <si>
    <t>max grad</t>
  </si>
  <si>
    <t>B Slats:</t>
  </si>
  <si>
    <t>thickness outlier</t>
  </si>
  <si>
    <t>grad</t>
  </si>
  <si>
    <t>ρ</t>
  </si>
  <si>
    <t>Wt</t>
  </si>
  <si>
    <t>Max - deviation</t>
  </si>
  <si>
    <t>Max + deviation</t>
  </si>
  <si>
    <t>Large stretch marks</t>
  </si>
  <si>
    <t>The .66 is real</t>
  </si>
  <si>
    <t>Large stretch marks. Highly variable width</t>
  </si>
  <si>
    <t>C Slats:</t>
  </si>
  <si>
    <t>crack? along x-hat on +z side</t>
  </si>
  <si>
    <t>crack? -xz plane along x-hat</t>
  </si>
  <si>
    <t>small stretches</t>
  </si>
  <si>
    <t>D Slats:</t>
  </si>
  <si>
    <t>crack? Along lower z hat</t>
  </si>
  <si>
    <t>crack and grad</t>
  </si>
  <si>
    <t>crack? -xz plane, along -z edge</t>
  </si>
  <si>
    <t>curvature</t>
  </si>
  <si>
    <t>crack? +xz plane, +z edge</t>
  </si>
  <si>
    <t>E Slats:</t>
  </si>
  <si>
    <t>crack? Along lower x hat</t>
  </si>
  <si>
    <t>Stats</t>
  </si>
  <si>
    <t>cracks? Along x axis</t>
  </si>
  <si>
    <t xml:space="preserve">Arrange with other large gradient slats </t>
  </si>
  <si>
    <t>UGLY OLD ONE</t>
  </si>
  <si>
    <t>twist</t>
  </si>
  <si>
    <t>G</t>
  </si>
  <si>
    <t>if bad exchange with another one</t>
  </si>
  <si>
    <t>crack? Xz plane, along upper z hat</t>
  </si>
  <si>
    <t>if very twisted get rid of instead of 4</t>
  </si>
  <si>
    <t>cuts</t>
  </si>
  <si>
    <t>H Slats:</t>
  </si>
  <si>
    <t>I Slats:</t>
  </si>
  <si>
    <t>Eagle quote</t>
  </si>
  <si>
    <t>grad and thickness</t>
  </si>
  <si>
    <t>J Slats:</t>
  </si>
  <si>
    <t>Thick and grad</t>
  </si>
  <si>
    <t>K Slats:</t>
  </si>
  <si>
    <t>Gradient</t>
  </si>
  <si>
    <t>Bundle Code</t>
  </si>
  <si>
    <t>A1</t>
  </si>
  <si>
    <t>Position</t>
  </si>
  <si>
    <t>A Slat</t>
  </si>
  <si>
    <t>top</t>
  </si>
  <si>
    <t>bottom</t>
  </si>
  <si>
    <t>A2</t>
  </si>
  <si>
    <t>A3</t>
  </si>
  <si>
    <t>A4</t>
  </si>
  <si>
    <t>Average Thickness</t>
  </si>
  <si>
    <t>As1</t>
  </si>
  <si>
    <t>Theoretical Bundle Thickness</t>
  </si>
  <si>
    <t>Measured Bundle Thickness</t>
  </si>
  <si>
    <t>As Slat</t>
  </si>
  <si>
    <t>As2</t>
  </si>
  <si>
    <t>B1</t>
  </si>
  <si>
    <t>B2</t>
  </si>
  <si>
    <t>B3</t>
  </si>
  <si>
    <t>B4</t>
  </si>
  <si>
    <t>B Slat</t>
  </si>
  <si>
    <t>Orientation</t>
  </si>
  <si>
    <t>flipped front-back</t>
  </si>
  <si>
    <t>upside-down</t>
  </si>
  <si>
    <t>upside-down and front-back</t>
  </si>
  <si>
    <t>Bs1</t>
  </si>
  <si>
    <t>Bs2</t>
  </si>
  <si>
    <t>Bs Slat</t>
  </si>
  <si>
    <t>C1</t>
  </si>
  <si>
    <t>C2</t>
  </si>
  <si>
    <t>C3</t>
  </si>
  <si>
    <t>C4</t>
  </si>
  <si>
    <t>D1</t>
  </si>
  <si>
    <t>D2</t>
  </si>
  <si>
    <t>D3</t>
  </si>
  <si>
    <t>D4</t>
  </si>
  <si>
    <t>D5</t>
  </si>
  <si>
    <t>Cs1</t>
  </si>
  <si>
    <t>E1</t>
  </si>
  <si>
    <t>C Slat</t>
  </si>
  <si>
    <t>E2</t>
  </si>
  <si>
    <t>E3</t>
  </si>
  <si>
    <t>E4</t>
  </si>
  <si>
    <t>E5</t>
  </si>
  <si>
    <t>crack in left XY edge</t>
  </si>
  <si>
    <t>dent in back</t>
  </si>
  <si>
    <t>chip on back</t>
  </si>
  <si>
    <t>F1</t>
  </si>
  <si>
    <t>F2</t>
  </si>
  <si>
    <t>F3</t>
  </si>
  <si>
    <t>F4</t>
  </si>
  <si>
    <t>F5</t>
  </si>
  <si>
    <t>super wide!</t>
  </si>
  <si>
    <t>G1</t>
  </si>
  <si>
    <t>G2</t>
  </si>
  <si>
    <t>G3</t>
  </si>
  <si>
    <t>G4</t>
  </si>
  <si>
    <t>Es Slat</t>
  </si>
  <si>
    <t>E Slat</t>
  </si>
  <si>
    <t>D Slat</t>
  </si>
  <si>
    <t>F Slat</t>
  </si>
  <si>
    <t>Fs Slat</t>
  </si>
  <si>
    <t>Gs1</t>
  </si>
  <si>
    <t>Gs2</t>
  </si>
  <si>
    <t>H1</t>
  </si>
  <si>
    <t>H2</t>
  </si>
  <si>
    <t>H3</t>
  </si>
  <si>
    <t>H4</t>
  </si>
  <si>
    <t>Hs1</t>
  </si>
  <si>
    <t>Hs2</t>
  </si>
  <si>
    <t>Hs3</t>
  </si>
  <si>
    <t>I1</t>
  </si>
  <si>
    <t>I2</t>
  </si>
  <si>
    <t>I3</t>
  </si>
  <si>
    <t>I4</t>
  </si>
  <si>
    <t>G Slat</t>
  </si>
  <si>
    <t>Is2</t>
  </si>
  <si>
    <t>Is1</t>
  </si>
  <si>
    <t>Gs Slat</t>
  </si>
  <si>
    <t>H Slat</t>
  </si>
  <si>
    <t>J1</t>
  </si>
  <si>
    <t>J2</t>
  </si>
  <si>
    <t>J3</t>
  </si>
  <si>
    <t>J4</t>
  </si>
  <si>
    <t>divot in middle of +XZ face</t>
  </si>
  <si>
    <t>J5</t>
  </si>
  <si>
    <t>I Slat</t>
  </si>
  <si>
    <t>K1</t>
  </si>
  <si>
    <t>K2</t>
  </si>
  <si>
    <t>K3</t>
  </si>
  <si>
    <t>K4</t>
  </si>
  <si>
    <t>K5</t>
  </si>
  <si>
    <t>L1</t>
  </si>
  <si>
    <t>L2</t>
  </si>
  <si>
    <t>L3</t>
  </si>
  <si>
    <t>L4</t>
  </si>
  <si>
    <t>L5</t>
  </si>
  <si>
    <t>J Slat</t>
  </si>
  <si>
    <t>M1</t>
  </si>
  <si>
    <t>M2</t>
  </si>
  <si>
    <t>M3</t>
  </si>
  <si>
    <t>M4</t>
  </si>
  <si>
    <t>K Slat</t>
  </si>
  <si>
    <t>Ks Slat</t>
  </si>
  <si>
    <t>Ms1</t>
  </si>
  <si>
    <t>before I added another washer</t>
  </si>
  <si>
    <t>don't worry about it</t>
  </si>
  <si>
    <t>This shipment came in thin</t>
  </si>
  <si>
    <t>upside down</t>
  </si>
  <si>
    <t>changed</t>
  </si>
  <si>
    <t>Slat Widths</t>
  </si>
  <si>
    <t>Assume design offset of 0.4 degrees (.0.5*.66 + 0.2 deg in quadrature)</t>
  </si>
  <si>
    <t xml:space="preserve">Design transverse shadow = tan(0.4)*25.4mm = </t>
  </si>
  <si>
    <t>in worst case.</t>
  </si>
  <si>
    <t>Design shadow (=50% of design shadow)</t>
  </si>
  <si>
    <t>Pitches / bundle</t>
  </si>
  <si>
    <t>Nominal Pitch</t>
  </si>
  <si>
    <t>Long Cycle Count</t>
  </si>
  <si>
    <t>Short Cycle Count</t>
  </si>
  <si>
    <t>Long blade count</t>
  </si>
  <si>
    <t>Short blade count</t>
  </si>
  <si>
    <t>Design Slat</t>
  </si>
  <si>
    <t>Nominal Slat</t>
  </si>
  <si>
    <t>Nominal Spacer</t>
  </si>
  <si>
    <t>=inches</t>
  </si>
  <si>
    <t>inches</t>
  </si>
  <si>
    <t>=mm</t>
  </si>
  <si>
    <t>A</t>
  </si>
  <si>
    <t>B</t>
  </si>
  <si>
    <t>C</t>
  </si>
  <si>
    <t>D</t>
  </si>
  <si>
    <t>E</t>
  </si>
  <si>
    <t>F</t>
  </si>
  <si>
    <t>H</t>
  </si>
  <si>
    <t>I</t>
  </si>
  <si>
    <t>J</t>
  </si>
  <si>
    <t>K</t>
  </si>
  <si>
    <t>L</t>
  </si>
  <si>
    <t>TOTALS</t>
  </si>
  <si>
    <t xml:space="preserve">Flight Total </t>
  </si>
  <si>
    <t>Spares</t>
  </si>
  <si>
    <t>Total</t>
  </si>
  <si>
    <t>In hand</t>
  </si>
  <si>
    <t>Needed</t>
  </si>
  <si>
    <t>8"</t>
  </si>
  <si>
    <t>4"</t>
  </si>
  <si>
    <t>pinching</t>
  </si>
  <si>
    <t>ALTERNATIVE</t>
  </si>
  <si>
    <t>Rx2</t>
  </si>
  <si>
    <t>Lx2</t>
  </si>
  <si>
    <t>R</t>
  </si>
  <si>
    <t>L,R(bb)</t>
  </si>
  <si>
    <t>R(bb)</t>
  </si>
  <si>
    <t>M5</t>
  </si>
  <si>
    <t>Legend:</t>
  </si>
  <si>
    <t>L/R</t>
  </si>
  <si>
    <t>Each bundle is partitioned into visible slat parts, left half and right half. L/R corresponds to which half has pinching</t>
  </si>
  <si>
    <t>xN</t>
  </si>
  <si>
    <t>number of pinching places per L/R half</t>
  </si>
  <si>
    <t>bb</t>
  </si>
  <si>
    <t>see legend to right</t>
  </si>
  <si>
    <t>Number goes here</t>
  </si>
  <si>
    <t>front</t>
  </si>
  <si>
    <t>backwards = flip back-front</t>
  </si>
  <si>
    <t>upside down =flip  top-bottom</t>
  </si>
  <si>
    <t>pinching between the bottom slat of this bundle and the top slat of the one below</t>
  </si>
  <si>
    <t xml:space="preserve">Bundles are organized so that the bottom of a bundle (denoted with letter and number at bottom) is towards the outer ring of the mask.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</si>
</sst>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00"/>
    <numFmt numFmtId="166" formatCode="0.0000"/>
  </numFmts>
  <fonts count="20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2"/>
      <name val="Calibri"/>
      <family val="2"/>
      <scheme val="minor"/>
    </font>
    <font>
      <sz val="12"/>
      <color indexed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indexed="10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b/>
      <sz val="18"/>
      <color theme="1"/>
      <name val="Calibri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name val="Arial"/>
    </font>
    <font>
      <b/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66">
    <xf numFmtId="0" fontId="0" fillId="0" borderId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8" fillId="0" borderId="0"/>
  </cellStyleXfs>
  <cellXfs count="397">
    <xf numFmtId="0" fontId="0" fillId="0" borderId="0" xfId="0"/>
    <xf numFmtId="0" fontId="0" fillId="0" borderId="0" xfId="0" applyFont="1"/>
    <xf numFmtId="0" fontId="0" fillId="0" borderId="1" xfId="0" applyFont="1" applyFill="1" applyBorder="1" applyAlignment="1"/>
    <xf numFmtId="0" fontId="0" fillId="0" borderId="0" xfId="0" applyFont="1" applyFill="1" applyBorder="1" applyAlignment="1"/>
    <xf numFmtId="0" fontId="0" fillId="0" borderId="0" xfId="0" applyNumberFormat="1" applyFont="1" applyFill="1" applyBorder="1" applyAlignment="1"/>
    <xf numFmtId="0" fontId="1" fillId="0" borderId="2" xfId="0" applyFont="1" applyFill="1" applyBorder="1" applyAlignment="1">
      <alignment horizontal="center"/>
    </xf>
    <xf numFmtId="4" fontId="0" fillId="0" borderId="0" xfId="0" applyNumberFormat="1" applyFont="1"/>
    <xf numFmtId="2" fontId="0" fillId="0" borderId="0" xfId="0" applyNumberFormat="1" applyFont="1"/>
    <xf numFmtId="0" fontId="0" fillId="0" borderId="0" xfId="0" quotePrefix="1" applyFont="1"/>
    <xf numFmtId="164" fontId="0" fillId="0" borderId="0" xfId="0" applyNumberFormat="1" applyFont="1"/>
    <xf numFmtId="1" fontId="0" fillId="0" borderId="0" xfId="0" applyNumberFormat="1" applyFont="1"/>
    <xf numFmtId="4" fontId="2" fillId="0" borderId="0" xfId="0" applyNumberFormat="1" applyFont="1" applyFill="1" applyBorder="1" applyAlignment="1">
      <alignment wrapText="1"/>
    </xf>
    <xf numFmtId="0" fontId="0" fillId="0" borderId="0" xfId="0" applyFont="1" applyBorder="1"/>
    <xf numFmtId="0" fontId="3" fillId="0" borderId="0" xfId="0" applyFont="1" applyBorder="1"/>
    <xf numFmtId="0" fontId="0" fillId="0" borderId="3" xfId="0" applyBorder="1"/>
    <xf numFmtId="0" fontId="0" fillId="0" borderId="3" xfId="0" applyFont="1" applyBorder="1" applyAlignment="1">
      <alignment vertical="center"/>
    </xf>
    <xf numFmtId="0" fontId="0" fillId="0" borderId="3" xfId="0" applyFont="1" applyBorder="1"/>
    <xf numFmtId="0" fontId="0" fillId="0" borderId="4" xfId="0" applyFont="1" applyBorder="1" applyAlignment="1">
      <alignment vertical="center"/>
    </xf>
    <xf numFmtId="0" fontId="0" fillId="0" borderId="4" xfId="0" applyFont="1" applyFill="1" applyBorder="1" applyAlignment="1">
      <alignment horizontal="right"/>
    </xf>
    <xf numFmtId="0" fontId="0" fillId="0" borderId="4" xfId="0" applyFont="1" applyBorder="1"/>
    <xf numFmtId="164" fontId="2" fillId="0" borderId="5" xfId="0" applyNumberFormat="1" applyFont="1" applyBorder="1" applyAlignment="1">
      <alignment vertical="center"/>
    </xf>
    <xf numFmtId="164" fontId="0" fillId="0" borderId="6" xfId="0" applyNumberFormat="1" applyFont="1" applyBorder="1"/>
    <xf numFmtId="0" fontId="2" fillId="0" borderId="0" xfId="0" quotePrefix="1" applyNumberFormat="1" applyFont="1" applyFill="1" applyBorder="1" applyAlignment="1">
      <alignment wrapText="1"/>
    </xf>
    <xf numFmtId="0" fontId="2" fillId="0" borderId="0" xfId="0" applyNumberFormat="1" applyFont="1" applyFill="1" applyBorder="1" applyAlignment="1">
      <alignment wrapText="1"/>
    </xf>
    <xf numFmtId="0" fontId="4" fillId="0" borderId="0" xfId="0" applyNumberFormat="1" applyFont="1" applyFill="1" applyAlignment="1"/>
    <xf numFmtId="0" fontId="4" fillId="0" borderId="0" xfId="0" applyNumberFormat="1" applyFont="1" applyFill="1" applyBorder="1" applyAlignment="1"/>
    <xf numFmtId="4" fontId="2" fillId="0" borderId="5" xfId="0" applyNumberFormat="1" applyFont="1" applyFill="1" applyBorder="1" applyAlignment="1">
      <alignment wrapText="1"/>
    </xf>
    <xf numFmtId="4" fontId="4" fillId="0" borderId="6" xfId="0" applyNumberFormat="1" applyFont="1" applyFill="1" applyBorder="1" applyAlignment="1"/>
    <xf numFmtId="2" fontId="0" fillId="0" borderId="0" xfId="0" applyNumberFormat="1" applyFont="1" applyFill="1" applyBorder="1" applyAlignment="1">
      <alignment wrapText="1"/>
    </xf>
    <xf numFmtId="2" fontId="0" fillId="0" borderId="0" xfId="0" applyNumberFormat="1" applyFont="1" applyFill="1" applyBorder="1"/>
    <xf numFmtId="0" fontId="2" fillId="0" borderId="5" xfId="0" applyNumberFormat="1" applyFont="1" applyFill="1" applyBorder="1" applyAlignment="1">
      <alignment wrapText="1"/>
    </xf>
    <xf numFmtId="0" fontId="2" fillId="0" borderId="6" xfId="0" applyNumberFormat="1" applyFont="1" applyFill="1" applyBorder="1" applyAlignment="1">
      <alignment wrapText="1"/>
    </xf>
    <xf numFmtId="0" fontId="0" fillId="0" borderId="0" xfId="0" applyFont="1" applyFill="1" applyBorder="1"/>
    <xf numFmtId="0" fontId="0" fillId="0" borderId="7" xfId="0" applyFont="1" applyBorder="1" applyAlignment="1">
      <alignment vertical="center"/>
    </xf>
    <xf numFmtId="0" fontId="0" fillId="0" borderId="7" xfId="0" applyFont="1" applyFill="1" applyBorder="1" applyAlignment="1">
      <alignment horizontal="right"/>
    </xf>
    <xf numFmtId="0" fontId="0" fillId="0" borderId="7" xfId="0" applyFont="1" applyBorder="1"/>
    <xf numFmtId="164" fontId="2" fillId="0" borderId="8" xfId="0" applyNumberFormat="1" applyFont="1" applyBorder="1" applyAlignment="1">
      <alignment vertical="center"/>
    </xf>
    <xf numFmtId="164" fontId="0" fillId="0" borderId="9" xfId="0" applyNumberFormat="1" applyFont="1" applyBorder="1"/>
    <xf numFmtId="4" fontId="2" fillId="0" borderId="8" xfId="0" applyNumberFormat="1" applyFont="1" applyFill="1" applyBorder="1" applyAlignment="1">
      <alignment wrapText="1"/>
    </xf>
    <xf numFmtId="4" fontId="4" fillId="0" borderId="9" xfId="0" applyNumberFormat="1" applyFont="1" applyFill="1" applyBorder="1" applyAlignment="1"/>
    <xf numFmtId="0" fontId="2" fillId="0" borderId="8" xfId="0" applyNumberFormat="1" applyFont="1" applyFill="1" applyBorder="1" applyAlignment="1">
      <alignment wrapText="1"/>
    </xf>
    <xf numFmtId="0" fontId="2" fillId="0" borderId="9" xfId="0" applyNumberFormat="1" applyFont="1" applyFill="1" applyBorder="1" applyAlignment="1">
      <alignment wrapText="1"/>
    </xf>
    <xf numFmtId="2" fontId="0" fillId="0" borderId="0" xfId="0" applyNumberFormat="1" applyFont="1" applyBorder="1"/>
    <xf numFmtId="0" fontId="2" fillId="2" borderId="0" xfId="0" applyFont="1" applyFill="1"/>
    <xf numFmtId="0" fontId="0" fillId="2" borderId="0" xfId="0" applyFont="1" applyFill="1" applyBorder="1"/>
    <xf numFmtId="0" fontId="4" fillId="0" borderId="0" xfId="0" applyNumberFormat="1" applyFont="1" applyFill="1" applyBorder="1" applyAlignment="1">
      <alignment wrapText="1"/>
    </xf>
    <xf numFmtId="4" fontId="4" fillId="0" borderId="9" xfId="0" applyNumberFormat="1" applyFont="1" applyFill="1" applyBorder="1" applyAlignment="1">
      <alignment wrapText="1"/>
    </xf>
    <xf numFmtId="2" fontId="0" fillId="0" borderId="0" xfId="0" applyNumberFormat="1" applyFont="1" applyBorder="1" applyAlignment="1">
      <alignment wrapText="1"/>
    </xf>
    <xf numFmtId="0" fontId="0" fillId="2" borderId="0" xfId="0" applyFont="1" applyFill="1"/>
    <xf numFmtId="0" fontId="0" fillId="3" borderId="0" xfId="0" applyFont="1" applyFill="1"/>
    <xf numFmtId="0" fontId="0" fillId="3" borderId="0" xfId="0" applyFont="1" applyFill="1" applyBorder="1"/>
    <xf numFmtId="0" fontId="0" fillId="0" borderId="0" xfId="0" applyFont="1" applyAlignment="1">
      <alignment vertical="center"/>
    </xf>
    <xf numFmtId="164" fontId="0" fillId="0" borderId="7" xfId="0" applyNumberFormat="1" applyFont="1" applyBorder="1"/>
    <xf numFmtId="164" fontId="0" fillId="0" borderId="8" xfId="0" applyNumberFormat="1" applyFont="1" applyBorder="1"/>
    <xf numFmtId="0" fontId="0" fillId="0" borderId="8" xfId="0" applyFont="1" applyBorder="1"/>
    <xf numFmtId="0" fontId="0" fillId="0" borderId="0" xfId="0" applyFont="1" applyBorder="1" applyAlignment="1">
      <alignment wrapText="1"/>
    </xf>
    <xf numFmtId="0" fontId="0" fillId="0" borderId="9" xfId="0" applyFont="1" applyBorder="1"/>
    <xf numFmtId="1" fontId="0" fillId="0" borderId="0" xfId="0" applyNumberFormat="1"/>
    <xf numFmtId="1" fontId="0" fillId="0" borderId="7" xfId="0" applyNumberFormat="1" applyBorder="1"/>
    <xf numFmtId="1" fontId="0" fillId="0" borderId="7" xfId="0" applyNumberFormat="1" applyFont="1" applyBorder="1"/>
    <xf numFmtId="1" fontId="0" fillId="0" borderId="8" xfId="0" applyNumberFormat="1" applyFont="1" applyBorder="1"/>
    <xf numFmtId="1" fontId="0" fillId="0" borderId="0" xfId="0" applyNumberFormat="1" applyFont="1" applyFill="1" applyBorder="1" applyAlignment="1">
      <alignment wrapText="1"/>
    </xf>
    <xf numFmtId="1" fontId="0" fillId="0" borderId="0" xfId="0" applyNumberFormat="1" applyFont="1" applyBorder="1" applyAlignment="1">
      <alignment wrapText="1"/>
    </xf>
    <xf numFmtId="1" fontId="0" fillId="0" borderId="8" xfId="0" applyNumberFormat="1" applyFont="1" applyBorder="1" applyAlignment="1">
      <alignment wrapText="1"/>
    </xf>
    <xf numFmtId="1" fontId="0" fillId="0" borderId="9" xfId="0" applyNumberFormat="1" applyFont="1" applyBorder="1" applyAlignment="1">
      <alignment wrapText="1"/>
    </xf>
    <xf numFmtId="1" fontId="0" fillId="0" borderId="0" xfId="0" applyNumberFormat="1" applyFont="1" applyBorder="1"/>
    <xf numFmtId="0" fontId="0" fillId="0" borderId="8" xfId="0" applyFont="1" applyFill="1" applyBorder="1"/>
    <xf numFmtId="0" fontId="0" fillId="0" borderId="4" xfId="0" applyFont="1" applyFill="1" applyBorder="1"/>
    <xf numFmtId="0" fontId="0" fillId="0" borderId="4" xfId="0" applyFont="1" applyBorder="1" applyAlignment="1">
      <alignment wrapText="1"/>
    </xf>
    <xf numFmtId="164" fontId="0" fillId="0" borderId="4" xfId="0" applyNumberFormat="1" applyFont="1" applyBorder="1" applyAlignment="1">
      <alignment wrapText="1"/>
    </xf>
    <xf numFmtId="0" fontId="0" fillId="0" borderId="5" xfId="0" applyFont="1" applyFill="1" applyBorder="1"/>
    <xf numFmtId="0" fontId="0" fillId="0" borderId="10" xfId="0" applyFont="1" applyBorder="1"/>
    <xf numFmtId="164" fontId="0" fillId="0" borderId="5" xfId="0" applyNumberFormat="1" applyFont="1" applyBorder="1"/>
    <xf numFmtId="164" fontId="0" fillId="0" borderId="10" xfId="0" applyNumberFormat="1" applyFont="1" applyBorder="1"/>
    <xf numFmtId="0" fontId="0" fillId="0" borderId="5" xfId="0" applyFont="1" applyBorder="1"/>
    <xf numFmtId="2" fontId="0" fillId="0" borderId="10" xfId="0" applyNumberFormat="1" applyFont="1" applyBorder="1" applyAlignment="1">
      <alignment wrapText="1"/>
    </xf>
    <xf numFmtId="0" fontId="0" fillId="0" borderId="10" xfId="0" applyFont="1" applyBorder="1" applyAlignment="1">
      <alignment wrapText="1"/>
    </xf>
    <xf numFmtId="0" fontId="3" fillId="0" borderId="0" xfId="0" applyFont="1"/>
    <xf numFmtId="164" fontId="0" fillId="0" borderId="0" xfId="0" applyNumberFormat="1" applyFont="1" applyAlignment="1">
      <alignment wrapText="1"/>
    </xf>
    <xf numFmtId="0" fontId="0" fillId="0" borderId="0" xfId="0" applyFont="1" applyAlignment="1">
      <alignment wrapText="1"/>
    </xf>
    <xf numFmtId="2" fontId="0" fillId="0" borderId="0" xfId="0" applyNumberFormat="1" applyFont="1" applyAlignment="1">
      <alignment wrapText="1"/>
    </xf>
    <xf numFmtId="0" fontId="0" fillId="0" borderId="0" xfId="0" applyFont="1" applyAlignment="1"/>
    <xf numFmtId="4" fontId="0" fillId="0" borderId="0" xfId="0" applyNumberFormat="1"/>
    <xf numFmtId="2" fontId="0" fillId="0" borderId="0" xfId="0" applyNumberFormat="1"/>
    <xf numFmtId="0" fontId="0" fillId="0" borderId="0" xfId="0" quotePrefix="1"/>
    <xf numFmtId="164" fontId="0" fillId="0" borderId="0" xfId="0" applyNumberFormat="1"/>
    <xf numFmtId="4" fontId="5" fillId="0" borderId="0" xfId="0" applyNumberFormat="1" applyFont="1" applyFill="1" applyBorder="1" applyAlignment="1">
      <alignment wrapText="1"/>
    </xf>
    <xf numFmtId="0" fontId="0" fillId="0" borderId="0" xfId="0" applyBorder="1"/>
    <xf numFmtId="164" fontId="5" fillId="0" borderId="0" xfId="0" applyNumberFormat="1" applyFont="1" applyBorder="1" applyAlignment="1">
      <alignment vertical="center"/>
    </xf>
    <xf numFmtId="164" fontId="0" fillId="0" borderId="0" xfId="0" applyNumberFormat="1" applyBorder="1"/>
    <xf numFmtId="0" fontId="5" fillId="0" borderId="0" xfId="0" quotePrefix="1" applyNumberFormat="1" applyFont="1" applyFill="1" applyBorder="1" applyAlignment="1">
      <alignment wrapText="1"/>
    </xf>
    <xf numFmtId="0" fontId="5" fillId="0" borderId="0" xfId="0" applyNumberFormat="1" applyFont="1" applyFill="1" applyBorder="1" applyAlignment="1">
      <alignment wrapText="1"/>
    </xf>
    <xf numFmtId="0" fontId="6" fillId="0" borderId="0" xfId="0" applyNumberFormat="1" applyFont="1" applyFill="1" applyBorder="1" applyAlignment="1"/>
    <xf numFmtId="4" fontId="6" fillId="0" borderId="0" xfId="0" applyNumberFormat="1" applyFont="1" applyFill="1" applyBorder="1" applyAlignment="1"/>
    <xf numFmtId="2" fontId="0" fillId="0" borderId="0" xfId="0" applyNumberFormat="1" applyFill="1" applyBorder="1" applyAlignment="1">
      <alignment wrapText="1"/>
    </xf>
    <xf numFmtId="2" fontId="0" fillId="0" borderId="0" xfId="0" applyNumberFormat="1" applyFill="1" applyBorder="1"/>
    <xf numFmtId="0" fontId="0" fillId="0" borderId="0" xfId="0" applyFill="1" applyBorder="1"/>
    <xf numFmtId="164" fontId="5" fillId="0" borderId="0" xfId="0" applyNumberFormat="1" applyFont="1" applyAlignment="1">
      <alignment vertical="center"/>
    </xf>
    <xf numFmtId="0" fontId="6" fillId="0" borderId="0" xfId="0" applyNumberFormat="1" applyFont="1" applyFill="1" applyAlignment="1"/>
    <xf numFmtId="2" fontId="0" fillId="0" borderId="0" xfId="0" applyNumberFormat="1" applyBorder="1"/>
    <xf numFmtId="164" fontId="2" fillId="0" borderId="0" xfId="0" applyNumberFormat="1" applyFont="1" applyAlignment="1">
      <alignment vertical="center"/>
    </xf>
    <xf numFmtId="4" fontId="4" fillId="0" borderId="0" xfId="0" applyNumberFormat="1" applyFont="1" applyFill="1" applyBorder="1" applyAlignment="1"/>
    <xf numFmtId="0" fontId="0" fillId="0" borderId="0" xfId="0" quotePrefix="1" applyFont="1" applyBorder="1"/>
    <xf numFmtId="0" fontId="0" fillId="0" borderId="10" xfId="0" applyBorder="1"/>
    <xf numFmtId="0" fontId="0" fillId="0" borderId="5" xfId="0" applyFont="1" applyBorder="1" applyAlignment="1">
      <alignment vertical="center"/>
    </xf>
    <xf numFmtId="0" fontId="0" fillId="0" borderId="5" xfId="0" applyFont="1" applyFill="1" applyBorder="1" applyAlignment="1">
      <alignment horizontal="right"/>
    </xf>
    <xf numFmtId="0" fontId="2" fillId="0" borderId="5" xfId="0" quotePrefix="1" applyNumberFormat="1" applyFont="1" applyFill="1" applyBorder="1" applyAlignment="1">
      <alignment wrapText="1"/>
    </xf>
    <xf numFmtId="0" fontId="2" fillId="0" borderId="10" xfId="0" applyNumberFormat="1" applyFont="1" applyFill="1" applyBorder="1" applyAlignment="1">
      <alignment wrapText="1"/>
    </xf>
    <xf numFmtId="0" fontId="4" fillId="0" borderId="10" xfId="0" applyNumberFormat="1" applyFont="1" applyFill="1" applyBorder="1" applyAlignment="1"/>
    <xf numFmtId="0" fontId="4" fillId="0" borderId="6" xfId="0" applyNumberFormat="1" applyFont="1" applyFill="1" applyBorder="1" applyAlignment="1"/>
    <xf numFmtId="2" fontId="0" fillId="0" borderId="5" xfId="0" applyNumberFormat="1" applyFont="1" applyFill="1" applyBorder="1" applyAlignment="1">
      <alignment wrapText="1"/>
    </xf>
    <xf numFmtId="2" fontId="0" fillId="0" borderId="10" xfId="0" applyNumberFormat="1" applyFont="1" applyFill="1" applyBorder="1" applyAlignment="1">
      <alignment wrapText="1"/>
    </xf>
    <xf numFmtId="2" fontId="0" fillId="0" borderId="6" xfId="0" applyNumberFormat="1" applyFont="1" applyBorder="1"/>
    <xf numFmtId="0" fontId="4" fillId="0" borderId="5" xfId="0" applyNumberFormat="1" applyFont="1" applyFill="1" applyBorder="1" applyAlignment="1"/>
    <xf numFmtId="0" fontId="0" fillId="0" borderId="8" xfId="0" applyFont="1" applyBorder="1" applyAlignment="1">
      <alignment vertical="center"/>
    </xf>
    <xf numFmtId="0" fontId="2" fillId="0" borderId="8" xfId="0" quotePrefix="1" applyNumberFormat="1" applyFont="1" applyFill="1" applyBorder="1" applyAlignment="1">
      <alignment wrapText="1"/>
    </xf>
    <xf numFmtId="0" fontId="4" fillId="0" borderId="9" xfId="0" applyNumberFormat="1" applyFont="1" applyFill="1" applyBorder="1" applyAlignment="1"/>
    <xf numFmtId="2" fontId="0" fillId="0" borderId="8" xfId="0" applyNumberFormat="1" applyFont="1" applyFill="1" applyBorder="1" applyAlignment="1">
      <alignment wrapText="1"/>
    </xf>
    <xf numFmtId="2" fontId="0" fillId="0" borderId="9" xfId="0" applyNumberFormat="1" applyFont="1" applyBorder="1"/>
    <xf numFmtId="0" fontId="4" fillId="0" borderId="8" xfId="0" applyNumberFormat="1" applyFont="1" applyFill="1" applyBorder="1" applyAlignment="1"/>
    <xf numFmtId="0" fontId="4" fillId="0" borderId="9" xfId="0" applyNumberFormat="1" applyFont="1" applyFill="1" applyBorder="1" applyAlignment="1">
      <alignment wrapText="1"/>
    </xf>
    <xf numFmtId="2" fontId="0" fillId="0" borderId="8" xfId="0" applyNumberFormat="1" applyFont="1" applyBorder="1" applyAlignment="1">
      <alignment wrapText="1"/>
    </xf>
    <xf numFmtId="2" fontId="0" fillId="0" borderId="9" xfId="0" applyNumberFormat="1" applyFont="1" applyBorder="1" applyAlignment="1">
      <alignment wrapText="1"/>
    </xf>
    <xf numFmtId="0" fontId="4" fillId="0" borderId="8" xfId="0" applyNumberFormat="1" applyFont="1" applyFill="1" applyBorder="1" applyAlignment="1">
      <alignment wrapText="1"/>
    </xf>
    <xf numFmtId="0" fontId="0" fillId="0" borderId="9" xfId="0" applyFont="1" applyBorder="1" applyAlignment="1">
      <alignment vertical="center"/>
    </xf>
    <xf numFmtId="0" fontId="0" fillId="0" borderId="8" xfId="0" applyBorder="1"/>
    <xf numFmtId="1" fontId="0" fillId="0" borderId="8" xfId="0" applyNumberFormat="1" applyBorder="1"/>
    <xf numFmtId="1" fontId="0" fillId="0" borderId="11" xfId="0" applyNumberFormat="1" applyFont="1" applyBorder="1"/>
    <xf numFmtId="1" fontId="0" fillId="0" borderId="3" xfId="0" applyNumberFormat="1" applyFont="1" applyBorder="1"/>
    <xf numFmtId="1" fontId="0" fillId="0" borderId="12" xfId="0" applyNumberFormat="1" applyFont="1" applyBorder="1"/>
    <xf numFmtId="1" fontId="0" fillId="0" borderId="13" xfId="0" applyNumberFormat="1" applyFont="1" applyBorder="1"/>
    <xf numFmtId="1" fontId="0" fillId="0" borderId="3" xfId="0" applyNumberFormat="1" applyFont="1" applyFill="1" applyBorder="1" applyAlignment="1">
      <alignment wrapText="1"/>
    </xf>
    <xf numFmtId="1" fontId="0" fillId="0" borderId="3" xfId="0" applyNumberFormat="1" applyFont="1" applyBorder="1" applyAlignment="1">
      <alignment wrapText="1"/>
    </xf>
    <xf numFmtId="1" fontId="0" fillId="0" borderId="13" xfId="0" applyNumberFormat="1" applyFont="1" applyBorder="1" applyAlignment="1">
      <alignment wrapText="1"/>
    </xf>
    <xf numFmtId="1" fontId="0" fillId="0" borderId="12" xfId="0" applyNumberFormat="1" applyFont="1" applyBorder="1" applyAlignment="1">
      <alignment wrapText="1"/>
    </xf>
    <xf numFmtId="0" fontId="0" fillId="0" borderId="4" xfId="0" applyFill="1" applyBorder="1"/>
    <xf numFmtId="0" fontId="0" fillId="0" borderId="4" xfId="0" applyBorder="1" applyAlignment="1">
      <alignment wrapText="1"/>
    </xf>
    <xf numFmtId="164" fontId="0" fillId="0" borderId="4" xfId="0" applyNumberFormat="1" applyBorder="1" applyAlignment="1">
      <alignment wrapText="1"/>
    </xf>
    <xf numFmtId="164" fontId="0" fillId="0" borderId="5" xfId="0" applyNumberFormat="1" applyBorder="1"/>
    <xf numFmtId="164" fontId="0" fillId="0" borderId="10" xfId="0" applyNumberFormat="1" applyBorder="1"/>
    <xf numFmtId="0" fontId="0" fillId="0" borderId="5" xfId="0" applyBorder="1"/>
    <xf numFmtId="2" fontId="0" fillId="0" borderId="10" xfId="0" applyNumberFormat="1" applyBorder="1" applyAlignment="1">
      <alignment wrapText="1"/>
    </xf>
    <xf numFmtId="0" fontId="0" fillId="0" borderId="10" xfId="0" applyBorder="1" applyAlignment="1">
      <alignment wrapText="1"/>
    </xf>
    <xf numFmtId="164" fontId="0" fillId="0" borderId="0" xfId="0" applyNumberFormat="1" applyAlignment="1">
      <alignment horizontal="center" wrapText="1"/>
    </xf>
    <xf numFmtId="164" fontId="0" fillId="0" borderId="0" xfId="0" applyNumberFormat="1" applyAlignment="1">
      <alignment wrapText="1"/>
    </xf>
    <xf numFmtId="0" fontId="0" fillId="0" borderId="0" xfId="0" applyAlignment="1">
      <alignment wrapText="1"/>
    </xf>
    <xf numFmtId="2" fontId="0" fillId="0" borderId="0" xfId="0" applyNumberFormat="1" applyAlignment="1">
      <alignment wrapText="1"/>
    </xf>
    <xf numFmtId="0" fontId="0" fillId="0" borderId="0" xfId="0" applyAlignment="1">
      <alignment horizontal="left"/>
    </xf>
    <xf numFmtId="0" fontId="0" fillId="0" borderId="0" xfId="0" applyFont="1" applyAlignment="1">
      <alignment horizontal="left"/>
    </xf>
    <xf numFmtId="0" fontId="0" fillId="0" borderId="3" xfId="0" applyFont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2" fontId="0" fillId="0" borderId="4" xfId="0" applyNumberFormat="1" applyFont="1" applyBorder="1"/>
    <xf numFmtId="164" fontId="0" fillId="0" borderId="6" xfId="0" applyNumberFormat="1" applyFont="1" applyBorder="1" applyAlignment="1">
      <alignment wrapText="1"/>
    </xf>
    <xf numFmtId="0" fontId="4" fillId="0" borderId="5" xfId="0" applyNumberFormat="1" applyFont="1" applyFill="1" applyBorder="1" applyAlignment="1">
      <alignment wrapText="1"/>
    </xf>
    <xf numFmtId="0" fontId="4" fillId="0" borderId="10" xfId="0" applyNumberFormat="1" applyFont="1" applyFill="1" applyBorder="1" applyAlignment="1">
      <alignment wrapText="1"/>
    </xf>
    <xf numFmtId="0" fontId="2" fillId="0" borderId="10" xfId="0" applyFont="1" applyBorder="1" applyAlignment="1">
      <alignment vertical="center"/>
    </xf>
    <xf numFmtId="4" fontId="4" fillId="0" borderId="5" xfId="0" applyNumberFormat="1" applyFont="1" applyFill="1" applyBorder="1" applyAlignment="1">
      <alignment wrapText="1"/>
    </xf>
    <xf numFmtId="4" fontId="2" fillId="0" borderId="6" xfId="0" applyNumberFormat="1" applyFont="1" applyFill="1" applyBorder="1" applyAlignment="1">
      <alignment wrapText="1"/>
    </xf>
    <xf numFmtId="3" fontId="4" fillId="0" borderId="5" xfId="0" applyNumberFormat="1" applyFont="1" applyFill="1" applyBorder="1" applyAlignment="1">
      <alignment wrapText="1"/>
    </xf>
    <xf numFmtId="3" fontId="2" fillId="0" borderId="6" xfId="0" applyNumberFormat="1" applyFont="1" applyFill="1" applyBorder="1" applyAlignment="1">
      <alignment wrapText="1"/>
    </xf>
    <xf numFmtId="2" fontId="0" fillId="0" borderId="7" xfId="0" applyNumberFormat="1" applyFont="1" applyBorder="1"/>
    <xf numFmtId="0" fontId="0" fillId="0" borderId="7" xfId="0" applyFont="1" applyFill="1" applyBorder="1"/>
    <xf numFmtId="164" fontId="0" fillId="0" borderId="9" xfId="0" applyNumberFormat="1" applyFont="1" applyBorder="1" applyAlignment="1">
      <alignment wrapText="1"/>
    </xf>
    <xf numFmtId="0" fontId="4" fillId="0" borderId="8" xfId="0" quotePrefix="1" applyNumberFormat="1" applyFont="1" applyFill="1" applyBorder="1" applyAlignment="1">
      <alignment wrapText="1"/>
    </xf>
    <xf numFmtId="0" fontId="2" fillId="0" borderId="0" xfId="0" applyFont="1" applyBorder="1" applyAlignment="1">
      <alignment vertical="center"/>
    </xf>
    <xf numFmtId="4" fontId="4" fillId="0" borderId="8" xfId="0" applyNumberFormat="1" applyFont="1" applyFill="1" applyBorder="1" applyAlignment="1">
      <alignment wrapText="1"/>
    </xf>
    <xf numFmtId="4" fontId="2" fillId="0" borderId="9" xfId="0" applyNumberFormat="1" applyFont="1" applyFill="1" applyBorder="1" applyAlignment="1">
      <alignment wrapText="1"/>
    </xf>
    <xf numFmtId="3" fontId="4" fillId="0" borderId="8" xfId="0" applyNumberFormat="1" applyFont="1" applyFill="1" applyBorder="1" applyAlignment="1">
      <alignment wrapText="1"/>
    </xf>
    <xf numFmtId="3" fontId="2" fillId="0" borderId="9" xfId="0" applyNumberFormat="1" applyFont="1" applyFill="1" applyBorder="1" applyAlignment="1">
      <alignment wrapText="1"/>
    </xf>
    <xf numFmtId="0" fontId="0" fillId="0" borderId="0" xfId="0" applyFill="1" applyBorder="1" applyAlignment="1">
      <alignment horizontal="left"/>
    </xf>
    <xf numFmtId="2" fontId="7" fillId="0" borderId="0" xfId="0" applyNumberFormat="1" applyFont="1" applyAlignment="1">
      <alignment wrapText="1"/>
    </xf>
    <xf numFmtId="2" fontId="2" fillId="0" borderId="0" xfId="0" applyNumberFormat="1" applyFont="1" applyAlignment="1">
      <alignment wrapText="1"/>
    </xf>
    <xf numFmtId="0" fontId="0" fillId="2" borderId="7" xfId="0" applyFont="1" applyFill="1" applyBorder="1"/>
    <xf numFmtId="2" fontId="7" fillId="0" borderId="0" xfId="0" applyNumberFormat="1" applyFont="1" applyBorder="1" applyAlignment="1">
      <alignment wrapText="1"/>
    </xf>
    <xf numFmtId="2" fontId="2" fillId="0" borderId="0" xfId="0" applyNumberFormat="1" applyFont="1" applyBorder="1" applyAlignment="1">
      <alignment wrapText="1"/>
    </xf>
    <xf numFmtId="0" fontId="2" fillId="2" borderId="7" xfId="0" applyFont="1" applyFill="1" applyBorder="1"/>
    <xf numFmtId="0" fontId="0" fillId="0" borderId="8" xfId="0" quotePrefix="1" applyFont="1" applyBorder="1"/>
    <xf numFmtId="0" fontId="0" fillId="0" borderId="9" xfId="0" applyFont="1" applyBorder="1" applyAlignment="1">
      <alignment wrapText="1"/>
    </xf>
    <xf numFmtId="2" fontId="4" fillId="0" borderId="8" xfId="0" applyNumberFormat="1" applyFont="1" applyFill="1" applyBorder="1" applyAlignment="1">
      <alignment wrapText="1"/>
    </xf>
    <xf numFmtId="2" fontId="4" fillId="0" borderId="9" xfId="0" applyNumberFormat="1" applyFont="1" applyFill="1" applyBorder="1" applyAlignment="1">
      <alignment wrapText="1"/>
    </xf>
    <xf numFmtId="2" fontId="4" fillId="0" borderId="0" xfId="0" applyNumberFormat="1" applyFont="1" applyFill="1" applyAlignment="1">
      <alignment wrapText="1"/>
    </xf>
    <xf numFmtId="2" fontId="4" fillId="0" borderId="0" xfId="0" applyNumberFormat="1" applyFont="1" applyFill="1" applyBorder="1" applyAlignment="1">
      <alignment wrapText="1"/>
    </xf>
    <xf numFmtId="1" fontId="4" fillId="0" borderId="8" xfId="0" applyNumberFormat="1" applyFont="1" applyFill="1" applyBorder="1" applyAlignment="1">
      <alignment wrapText="1"/>
    </xf>
    <xf numFmtId="1" fontId="4" fillId="0" borderId="9" xfId="0" applyNumberFormat="1" applyFont="1" applyFill="1" applyBorder="1" applyAlignment="1">
      <alignment wrapText="1"/>
    </xf>
    <xf numFmtId="0" fontId="0" fillId="0" borderId="0" xfId="0" applyFont="1" applyBorder="1" applyAlignment="1">
      <alignment horizontal="left"/>
    </xf>
    <xf numFmtId="0" fontId="0" fillId="0" borderId="7" xfId="0" applyBorder="1"/>
    <xf numFmtId="164" fontId="0" fillId="0" borderId="8" xfId="0" applyNumberFormat="1" applyFont="1" applyBorder="1" applyAlignment="1">
      <alignment wrapText="1"/>
    </xf>
    <xf numFmtId="0" fontId="0" fillId="0" borderId="8" xfId="0" applyFont="1" applyBorder="1" applyAlignment="1">
      <alignment wrapText="1"/>
    </xf>
    <xf numFmtId="1" fontId="0" fillId="0" borderId="0" xfId="0" applyNumberFormat="1" applyFont="1" applyBorder="1" applyAlignment="1">
      <alignment horizontal="left"/>
    </xf>
    <xf numFmtId="1" fontId="0" fillId="0" borderId="9" xfId="0" applyNumberFormat="1" applyFont="1" applyBorder="1"/>
    <xf numFmtId="0" fontId="0" fillId="0" borderId="7" xfId="0" applyFont="1" applyFill="1" applyBorder="1" applyAlignment="1">
      <alignment horizontal="left"/>
    </xf>
    <xf numFmtId="0" fontId="0" fillId="0" borderId="0" xfId="0" applyFont="1" applyAlignment="1">
      <alignment horizontal="left" wrapText="1"/>
    </xf>
    <xf numFmtId="165" fontId="0" fillId="0" borderId="0" xfId="0" applyNumberFormat="1" applyFont="1"/>
    <xf numFmtId="0" fontId="0" fillId="0" borderId="0" xfId="0" applyFont="1" applyFill="1" applyBorder="1" applyAlignment="1">
      <alignment vertical="center"/>
    </xf>
    <xf numFmtId="0" fontId="0" fillId="0" borderId="10" xfId="0" applyFont="1" applyBorder="1" applyAlignment="1">
      <alignment vertical="center"/>
    </xf>
    <xf numFmtId="2" fontId="0" fillId="0" borderId="5" xfId="0" applyNumberFormat="1" applyFont="1" applyBorder="1" applyAlignment="1">
      <alignment wrapText="1"/>
    </xf>
    <xf numFmtId="4" fontId="4" fillId="0" borderId="10" xfId="0" applyNumberFormat="1" applyFont="1" applyFill="1" applyBorder="1" applyAlignment="1">
      <alignment wrapText="1"/>
    </xf>
    <xf numFmtId="4" fontId="2" fillId="0" borderId="10" xfId="0" applyNumberFormat="1" applyFont="1" applyFill="1" applyBorder="1" applyAlignment="1">
      <alignment wrapText="1"/>
    </xf>
    <xf numFmtId="0" fontId="0" fillId="0" borderId="0" xfId="0" applyFont="1" applyBorder="1" applyAlignment="1">
      <alignment vertical="center"/>
    </xf>
    <xf numFmtId="4" fontId="4" fillId="0" borderId="0" xfId="0" applyNumberFormat="1" applyFont="1" applyFill="1" applyBorder="1" applyAlignment="1">
      <alignment wrapText="1"/>
    </xf>
    <xf numFmtId="0" fontId="0" fillId="0" borderId="0" xfId="0" applyBorder="1" applyAlignment="1">
      <alignment vertical="center"/>
    </xf>
    <xf numFmtId="4" fontId="8" fillId="0" borderId="0" xfId="0" applyNumberFormat="1" applyFont="1" applyFill="1" applyBorder="1" applyAlignment="1">
      <alignment wrapText="1"/>
    </xf>
    <xf numFmtId="4" fontId="8" fillId="0" borderId="9" xfId="0" applyNumberFormat="1" applyFont="1" applyFill="1" applyBorder="1" applyAlignment="1">
      <alignment wrapText="1"/>
    </xf>
    <xf numFmtId="164" fontId="9" fillId="0" borderId="5" xfId="0" applyNumberFormat="1" applyFont="1" applyBorder="1"/>
    <xf numFmtId="164" fontId="0" fillId="0" borderId="6" xfId="0" applyNumberFormat="1" applyBorder="1"/>
    <xf numFmtId="0" fontId="2" fillId="0" borderId="3" xfId="0" applyNumberFormat="1" applyFont="1" applyFill="1" applyBorder="1" applyAlignment="1">
      <alignment wrapText="1"/>
    </xf>
    <xf numFmtId="0" fontId="4" fillId="0" borderId="3" xfId="0" applyNumberFormat="1" applyFont="1" applyFill="1" applyBorder="1" applyAlignment="1"/>
    <xf numFmtId="2" fontId="0" fillId="0" borderId="5" xfId="0" applyNumberFormat="1" applyFont="1" applyBorder="1"/>
    <xf numFmtId="2" fontId="0" fillId="0" borderId="10" xfId="0" applyNumberFormat="1" applyFont="1" applyBorder="1"/>
    <xf numFmtId="1" fontId="4" fillId="0" borderId="5" xfId="0" applyNumberFormat="1" applyFont="1" applyFill="1" applyBorder="1" applyAlignment="1">
      <alignment wrapText="1"/>
    </xf>
    <xf numFmtId="1" fontId="2" fillId="0" borderId="6" xfId="0" applyNumberFormat="1" applyFont="1" applyFill="1" applyBorder="1" applyAlignment="1">
      <alignment wrapText="1"/>
    </xf>
    <xf numFmtId="0" fontId="0" fillId="0" borderId="10" xfId="0" applyFont="1" applyFill="1" applyBorder="1"/>
    <xf numFmtId="2" fontId="0" fillId="0" borderId="8" xfId="0" applyNumberFormat="1" applyFont="1" applyBorder="1"/>
    <xf numFmtId="1" fontId="2" fillId="0" borderId="9" xfId="0" applyNumberFormat="1" applyFont="1" applyFill="1" applyBorder="1" applyAlignment="1">
      <alignment wrapText="1"/>
    </xf>
    <xf numFmtId="0" fontId="0" fillId="0" borderId="11" xfId="0" applyFont="1" applyBorder="1"/>
    <xf numFmtId="164" fontId="0" fillId="0" borderId="12" xfId="0" applyNumberFormat="1" applyFont="1" applyBorder="1"/>
    <xf numFmtId="164" fontId="0" fillId="0" borderId="13" xfId="0" applyNumberFormat="1" applyFont="1" applyBorder="1"/>
    <xf numFmtId="0" fontId="0" fillId="0" borderId="12" xfId="0" applyFont="1" applyBorder="1" applyAlignment="1">
      <alignment wrapText="1"/>
    </xf>
    <xf numFmtId="0" fontId="0" fillId="0" borderId="3" xfId="0" applyFont="1" applyBorder="1" applyAlignment="1">
      <alignment wrapText="1"/>
    </xf>
    <xf numFmtId="0" fontId="0" fillId="0" borderId="13" xfId="0" applyFont="1" applyBorder="1" applyAlignment="1">
      <alignment wrapText="1"/>
    </xf>
    <xf numFmtId="0" fontId="0" fillId="0" borderId="6" xfId="0" applyFont="1" applyBorder="1"/>
    <xf numFmtId="0" fontId="3" fillId="0" borderId="0" xfId="0" applyFont="1" applyAlignment="1"/>
    <xf numFmtId="0" fontId="10" fillId="0" borderId="5" xfId="0" applyFont="1" applyBorder="1" applyAlignment="1">
      <alignment wrapText="1"/>
    </xf>
    <xf numFmtId="0" fontId="10" fillId="0" borderId="10" xfId="0" applyFont="1" applyBorder="1" applyAlignment="1">
      <alignment wrapText="1"/>
    </xf>
    <xf numFmtId="0" fontId="11" fillId="0" borderId="10" xfId="0" applyFont="1" applyBorder="1" applyAlignment="1"/>
    <xf numFmtId="0" fontId="11" fillId="0" borderId="6" xfId="0" applyFont="1" applyBorder="1" applyAlignment="1"/>
    <xf numFmtId="0" fontId="0" fillId="0" borderId="5" xfId="0" applyFont="1" applyFill="1" applyBorder="1" applyAlignment="1">
      <alignment wrapText="1"/>
    </xf>
    <xf numFmtId="0" fontId="0" fillId="0" borderId="6" xfId="0" applyFont="1" applyFill="1" applyBorder="1" applyAlignment="1">
      <alignment wrapText="1"/>
    </xf>
    <xf numFmtId="1" fontId="0" fillId="0" borderId="5" xfId="0" applyNumberFormat="1" applyFont="1" applyBorder="1"/>
    <xf numFmtId="1" fontId="0" fillId="0" borderId="6" xfId="0" applyNumberFormat="1" applyFont="1" applyBorder="1"/>
    <xf numFmtId="0" fontId="10" fillId="0" borderId="8" xfId="0" applyFont="1" applyBorder="1" applyAlignment="1">
      <alignment wrapText="1"/>
    </xf>
    <xf numFmtId="0" fontId="10" fillId="0" borderId="0" xfId="0" applyFont="1" applyBorder="1" applyAlignment="1">
      <alignment wrapText="1"/>
    </xf>
    <xf numFmtId="0" fontId="11" fillId="0" borderId="0" xfId="0" applyFont="1" applyBorder="1" applyAlignment="1"/>
    <xf numFmtId="0" fontId="11" fillId="0" borderId="9" xfId="0" applyFont="1" applyBorder="1" applyAlignment="1"/>
    <xf numFmtId="0" fontId="0" fillId="0" borderId="8" xfId="0" applyFont="1" applyFill="1" applyBorder="1" applyAlignment="1">
      <alignment wrapText="1"/>
    </xf>
    <xf numFmtId="0" fontId="0" fillId="0" borderId="9" xfId="0" applyFont="1" applyFill="1" applyBorder="1" applyAlignment="1">
      <alignment wrapText="1"/>
    </xf>
    <xf numFmtId="0" fontId="10" fillId="0" borderId="8" xfId="0" quotePrefix="1" applyFont="1" applyBorder="1" applyAlignment="1">
      <alignment wrapText="1"/>
    </xf>
    <xf numFmtId="0" fontId="11" fillId="0" borderId="0" xfId="0" applyFont="1" applyBorder="1" applyAlignment="1">
      <alignment wrapText="1"/>
    </xf>
    <xf numFmtId="0" fontId="11" fillId="0" borderId="9" xfId="0" applyFont="1" applyBorder="1" applyAlignment="1">
      <alignment wrapText="1"/>
    </xf>
    <xf numFmtId="165" fontId="0" fillId="0" borderId="8" xfId="0" applyNumberFormat="1" applyFont="1" applyBorder="1" applyAlignment="1">
      <alignment wrapText="1"/>
    </xf>
    <xf numFmtId="165" fontId="0" fillId="0" borderId="0" xfId="0" applyNumberFormat="1" applyFont="1" applyBorder="1" applyAlignment="1">
      <alignment wrapText="1"/>
    </xf>
    <xf numFmtId="165" fontId="0" fillId="0" borderId="9" xfId="0" applyNumberFormat="1" applyFont="1" applyBorder="1" applyAlignment="1">
      <alignment wrapText="1"/>
    </xf>
    <xf numFmtId="0" fontId="3" fillId="0" borderId="0" xfId="0" applyFont="1" applyAlignment="1">
      <alignment horizontal="center"/>
    </xf>
    <xf numFmtId="164" fontId="2" fillId="0" borderId="0" xfId="0" applyNumberFormat="1" applyFont="1" applyBorder="1" applyAlignment="1">
      <alignment vertical="center"/>
    </xf>
    <xf numFmtId="164" fontId="0" fillId="0" borderId="0" xfId="0" applyNumberFormat="1" applyFont="1" applyBorder="1"/>
    <xf numFmtId="0" fontId="10" fillId="0" borderId="0" xfId="0" applyFont="1" applyAlignment="1">
      <alignment wrapText="1"/>
    </xf>
    <xf numFmtId="0" fontId="11" fillId="0" borderId="0" xfId="0" applyFont="1" applyAlignment="1"/>
    <xf numFmtId="1" fontId="2" fillId="0" borderId="0" xfId="0" applyNumberFormat="1" applyFont="1" applyFill="1" applyBorder="1" applyAlignment="1">
      <alignment wrapText="1"/>
    </xf>
    <xf numFmtId="1" fontId="4" fillId="0" borderId="0" xfId="0" applyNumberFormat="1" applyFont="1" applyFill="1" applyBorder="1" applyAlignment="1">
      <alignment wrapText="1"/>
    </xf>
    <xf numFmtId="0" fontId="10" fillId="0" borderId="0" xfId="0" quotePrefix="1" applyFont="1" applyAlignment="1">
      <alignment wrapText="1"/>
    </xf>
    <xf numFmtId="164" fontId="2" fillId="0" borderId="10" xfId="0" applyNumberFormat="1" applyFont="1" applyBorder="1" applyAlignment="1">
      <alignment vertical="center"/>
    </xf>
    <xf numFmtId="0" fontId="0" fillId="0" borderId="12" xfId="0" applyFont="1" applyBorder="1"/>
    <xf numFmtId="0" fontId="0" fillId="0" borderId="7" xfId="0" applyFill="1" applyBorder="1"/>
    <xf numFmtId="0" fontId="0" fillId="0" borderId="4" xfId="0" applyBorder="1"/>
    <xf numFmtId="0" fontId="4" fillId="0" borderId="7" xfId="0" applyNumberFormat="1" applyFont="1" applyFill="1" applyBorder="1" applyAlignment="1"/>
    <xf numFmtId="0" fontId="0" fillId="4" borderId="4" xfId="0" applyFont="1" applyFill="1" applyBorder="1"/>
    <xf numFmtId="0" fontId="0" fillId="4" borderId="10" xfId="0" applyFont="1" applyFill="1" applyBorder="1"/>
    <xf numFmtId="0" fontId="0" fillId="4" borderId="7" xfId="0" applyFont="1" applyFill="1" applyBorder="1"/>
    <xf numFmtId="0" fontId="0" fillId="4" borderId="0" xfId="0" applyFont="1" applyFill="1" applyBorder="1"/>
    <xf numFmtId="0" fontId="2" fillId="0" borderId="9" xfId="0" applyFont="1" applyBorder="1" applyAlignment="1">
      <alignment vertical="center"/>
    </xf>
    <xf numFmtId="2" fontId="2" fillId="0" borderId="9" xfId="0" applyNumberFormat="1" applyFont="1" applyFill="1" applyBorder="1" applyAlignment="1">
      <alignment wrapText="1"/>
    </xf>
    <xf numFmtId="0" fontId="0" fillId="0" borderId="5" xfId="0" applyFont="1" applyBorder="1" applyAlignment="1">
      <alignment wrapText="1"/>
    </xf>
    <xf numFmtId="4" fontId="0" fillId="0" borderId="4" xfId="0" applyNumberFormat="1" applyFont="1" applyBorder="1"/>
    <xf numFmtId="0" fontId="10" fillId="0" borderId="5" xfId="0" quotePrefix="1" applyFont="1" applyBorder="1" applyAlignment="1">
      <alignment wrapText="1"/>
    </xf>
    <xf numFmtId="4" fontId="0" fillId="0" borderId="7" xfId="0" applyNumberFormat="1" applyFont="1" applyBorder="1"/>
    <xf numFmtId="4" fontId="4" fillId="0" borderId="7" xfId="0" applyNumberFormat="1" applyFont="1" applyFill="1" applyBorder="1" applyAlignment="1"/>
    <xf numFmtId="0" fontId="2" fillId="0" borderId="5" xfId="0" applyFont="1" applyBorder="1" applyAlignment="1">
      <alignment wrapText="1"/>
    </xf>
    <xf numFmtId="0" fontId="2" fillId="0" borderId="10" xfId="0" applyFont="1" applyBorder="1" applyAlignment="1">
      <alignment wrapText="1"/>
    </xf>
    <xf numFmtId="0" fontId="12" fillId="0" borderId="10" xfId="0" applyFont="1" applyBorder="1" applyAlignment="1"/>
    <xf numFmtId="0" fontId="12" fillId="0" borderId="6" xfId="0" applyFont="1" applyBorder="1" applyAlignment="1"/>
    <xf numFmtId="0" fontId="2" fillId="0" borderId="8" xfId="0" applyFont="1" applyBorder="1" applyAlignment="1">
      <alignment wrapText="1"/>
    </xf>
    <xf numFmtId="0" fontId="2" fillId="0" borderId="0" xfId="0" applyFont="1" applyBorder="1" applyAlignment="1">
      <alignment wrapText="1"/>
    </xf>
    <xf numFmtId="0" fontId="12" fillId="0" borderId="0" xfId="0" applyFont="1" applyBorder="1" applyAlignment="1"/>
    <xf numFmtId="0" fontId="12" fillId="0" borderId="9" xfId="0" applyFont="1" applyBorder="1" applyAlignment="1"/>
    <xf numFmtId="0" fontId="2" fillId="0" borderId="8" xfId="0" quotePrefix="1" applyFont="1" applyBorder="1" applyAlignment="1">
      <alignment wrapText="1"/>
    </xf>
    <xf numFmtId="0" fontId="12" fillId="0" borderId="0" xfId="0" applyFont="1" applyBorder="1" applyAlignment="1">
      <alignment wrapText="1"/>
    </xf>
    <xf numFmtId="0" fontId="12" fillId="0" borderId="9" xfId="0" applyFont="1" applyBorder="1" applyAlignment="1">
      <alignment wrapText="1"/>
    </xf>
    <xf numFmtId="164" fontId="2" fillId="0" borderId="9" xfId="0" applyNumberFormat="1" applyFont="1" applyBorder="1" applyAlignment="1">
      <alignment vertical="center"/>
    </xf>
    <xf numFmtId="0" fontId="0" fillId="2" borderId="4" xfId="0" applyFont="1" applyFill="1" applyBorder="1"/>
    <xf numFmtId="0" fontId="0" fillId="2" borderId="10" xfId="0" applyFont="1" applyFill="1" applyBorder="1"/>
    <xf numFmtId="164" fontId="0" fillId="0" borderId="3" xfId="0" applyNumberFormat="1" applyFont="1" applyBorder="1"/>
    <xf numFmtId="2" fontId="0" fillId="0" borderId="3" xfId="0" applyNumberFormat="1" applyFont="1" applyBorder="1"/>
    <xf numFmtId="0" fontId="2" fillId="0" borderId="5" xfId="0" quotePrefix="1" applyFont="1" applyBorder="1" applyAlignment="1">
      <alignment wrapText="1"/>
    </xf>
    <xf numFmtId="0" fontId="12" fillId="0" borderId="10" xfId="0" applyFont="1" applyBorder="1" applyAlignment="1">
      <alignment wrapText="1"/>
    </xf>
    <xf numFmtId="0" fontId="12" fillId="0" borderId="6" xfId="0" applyFont="1" applyBorder="1" applyAlignment="1">
      <alignment wrapText="1"/>
    </xf>
    <xf numFmtId="2" fontId="0" fillId="0" borderId="6" xfId="0" applyNumberFormat="1" applyFont="1" applyBorder="1" applyAlignment="1">
      <alignment wrapText="1"/>
    </xf>
    <xf numFmtId="0" fontId="2" fillId="0" borderId="4" xfId="0" applyFont="1" applyBorder="1" applyAlignment="1">
      <alignment vertical="center"/>
    </xf>
    <xf numFmtId="1" fontId="11" fillId="0" borderId="5" xfId="0" applyNumberFormat="1" applyFont="1" applyBorder="1" applyAlignment="1">
      <alignment wrapText="1"/>
    </xf>
    <xf numFmtId="0" fontId="10" fillId="0" borderId="6" xfId="0" applyFont="1" applyBorder="1" applyAlignment="1">
      <alignment wrapText="1"/>
    </xf>
    <xf numFmtId="0" fontId="2" fillId="0" borderId="7" xfId="0" applyFont="1" applyBorder="1" applyAlignment="1">
      <alignment vertical="center"/>
    </xf>
    <xf numFmtId="1" fontId="11" fillId="0" borderId="8" xfId="0" applyNumberFormat="1" applyFont="1" applyBorder="1" applyAlignment="1">
      <alignment wrapText="1"/>
    </xf>
    <xf numFmtId="0" fontId="10" fillId="0" borderId="9" xfId="0" applyFont="1" applyBorder="1" applyAlignment="1">
      <alignment wrapText="1"/>
    </xf>
    <xf numFmtId="0" fontId="2" fillId="0" borderId="0" xfId="0" applyFont="1" applyAlignment="1">
      <alignment vertical="center"/>
    </xf>
    <xf numFmtId="0" fontId="4" fillId="2" borderId="7" xfId="0" applyNumberFormat="1" applyFont="1" applyFill="1" applyBorder="1" applyAlignment="1"/>
    <xf numFmtId="0" fontId="4" fillId="2" borderId="0" xfId="0" applyNumberFormat="1" applyFont="1" applyFill="1" applyBorder="1" applyAlignment="1"/>
    <xf numFmtId="0" fontId="0" fillId="0" borderId="6" xfId="0" applyFont="1" applyBorder="1" applyAlignment="1">
      <alignment wrapText="1"/>
    </xf>
    <xf numFmtId="2" fontId="0" fillId="0" borderId="0" xfId="0" applyNumberFormat="1" applyFont="1" applyFill="1" applyBorder="1" applyAlignment="1"/>
    <xf numFmtId="4" fontId="4" fillId="0" borderId="3" xfId="0" applyNumberFormat="1" applyFont="1" applyFill="1" applyBorder="1" applyAlignment="1">
      <alignment wrapText="1"/>
    </xf>
    <xf numFmtId="4" fontId="2" fillId="0" borderId="3" xfId="0" applyNumberFormat="1" applyFont="1" applyFill="1" applyBorder="1" applyAlignment="1">
      <alignment wrapText="1"/>
    </xf>
    <xf numFmtId="2" fontId="0" fillId="0" borderId="3" xfId="0" applyNumberFormat="1" applyFont="1" applyBorder="1" applyAlignment="1">
      <alignment wrapText="1"/>
    </xf>
    <xf numFmtId="1" fontId="4" fillId="0" borderId="3" xfId="0" applyNumberFormat="1" applyFont="1" applyFill="1" applyBorder="1" applyAlignment="1">
      <alignment wrapText="1"/>
    </xf>
    <xf numFmtId="1" fontId="2" fillId="0" borderId="3" xfId="0" applyNumberFormat="1" applyFont="1" applyFill="1" applyBorder="1" applyAlignment="1">
      <alignment wrapText="1"/>
    </xf>
    <xf numFmtId="0" fontId="0" fillId="0" borderId="12" xfId="0" applyBorder="1"/>
    <xf numFmtId="0" fontId="0" fillId="0" borderId="11" xfId="0" applyBorder="1"/>
    <xf numFmtId="0" fontId="13" fillId="0" borderId="10" xfId="0" applyFont="1" applyBorder="1"/>
    <xf numFmtId="165" fontId="0" fillId="0" borderId="0" xfId="0" applyNumberFormat="1" applyFont="1" applyBorder="1"/>
    <xf numFmtId="165" fontId="0" fillId="0" borderId="7" xfId="0" applyNumberFormat="1" applyBorder="1"/>
    <xf numFmtId="165" fontId="0" fillId="0" borderId="11" xfId="0" applyNumberFormat="1" applyBorder="1"/>
    <xf numFmtId="0" fontId="0" fillId="0" borderId="13" xfId="0" applyBorder="1"/>
    <xf numFmtId="0" fontId="13" fillId="0" borderId="0" xfId="0" applyFont="1" applyFill="1" applyBorder="1"/>
    <xf numFmtId="165" fontId="0" fillId="0" borderId="13" xfId="0" applyNumberFormat="1" applyBorder="1"/>
    <xf numFmtId="165" fontId="0" fillId="0" borderId="9" xfId="0" applyNumberFormat="1" applyBorder="1"/>
    <xf numFmtId="165" fontId="0" fillId="0" borderId="6" xfId="0" applyNumberFormat="1" applyBorder="1"/>
    <xf numFmtId="0" fontId="1" fillId="0" borderId="11" xfId="0" applyFont="1" applyBorder="1"/>
    <xf numFmtId="165" fontId="0" fillId="0" borderId="4" xfId="0" applyNumberFormat="1" applyBorder="1"/>
    <xf numFmtId="165" fontId="0" fillId="0" borderId="3" xfId="0" applyNumberFormat="1" applyBorder="1"/>
    <xf numFmtId="0" fontId="1" fillId="0" borderId="3" xfId="0" applyFont="1" applyBorder="1"/>
    <xf numFmtId="0" fontId="17" fillId="0" borderId="0" xfId="0" applyFont="1"/>
    <xf numFmtId="0" fontId="17" fillId="0" borderId="8" xfId="0" applyFont="1" applyBorder="1"/>
    <xf numFmtId="2" fontId="0" fillId="0" borderId="8" xfId="0" applyNumberFormat="1" applyBorder="1"/>
    <xf numFmtId="0" fontId="0" fillId="0" borderId="8" xfId="0" quotePrefix="1" applyBorder="1"/>
    <xf numFmtId="0" fontId="0" fillId="0" borderId="12" xfId="0" quotePrefix="1" applyBorder="1"/>
    <xf numFmtId="0" fontId="0" fillId="0" borderId="9" xfId="0" applyBorder="1"/>
    <xf numFmtId="0" fontId="1" fillId="0" borderId="10" xfId="0" applyFont="1" applyBorder="1"/>
    <xf numFmtId="0" fontId="1" fillId="0" borderId="4" xfId="0" applyFont="1" applyBorder="1"/>
    <xf numFmtId="0" fontId="0" fillId="0" borderId="9" xfId="0" quotePrefix="1" applyBorder="1"/>
    <xf numFmtId="0" fontId="0" fillId="0" borderId="11" xfId="0" applyFill="1" applyBorder="1"/>
    <xf numFmtId="0" fontId="0" fillId="0" borderId="12" xfId="0" applyFill="1" applyBorder="1"/>
    <xf numFmtId="0" fontId="0" fillId="0" borderId="15" xfId="0" applyBorder="1"/>
    <xf numFmtId="0" fontId="0" fillId="0" borderId="14" xfId="0" applyBorder="1"/>
    <xf numFmtId="165" fontId="0" fillId="0" borderId="15" xfId="0" applyNumberFormat="1" applyBorder="1"/>
    <xf numFmtId="164" fontId="2" fillId="0" borderId="12" xfId="0" applyNumberFormat="1" applyFont="1" applyBorder="1" applyAlignment="1">
      <alignment vertical="center"/>
    </xf>
    <xf numFmtId="2" fontId="0" fillId="0" borderId="11" xfId="0" applyNumberFormat="1" applyFont="1" applyBorder="1"/>
    <xf numFmtId="166" fontId="0" fillId="0" borderId="15" xfId="0" applyNumberFormat="1" applyBorder="1"/>
    <xf numFmtId="0" fontId="18" fillId="0" borderId="0" xfId="65"/>
    <xf numFmtId="14" fontId="18" fillId="0" borderId="0" xfId="65" applyNumberFormat="1"/>
    <xf numFmtId="0" fontId="18" fillId="0" borderId="0" xfId="65" applyFont="1"/>
    <xf numFmtId="0" fontId="19" fillId="0" borderId="16" xfId="65" applyFont="1" applyBorder="1"/>
    <xf numFmtId="0" fontId="18" fillId="0" borderId="17" xfId="65" applyBorder="1"/>
    <xf numFmtId="0" fontId="18" fillId="0" borderId="18" xfId="65" applyBorder="1" applyAlignment="1">
      <alignment horizontal="center"/>
    </xf>
    <xf numFmtId="0" fontId="18" fillId="0" borderId="19" xfId="65" applyBorder="1" applyAlignment="1">
      <alignment horizontal="center"/>
    </xf>
    <xf numFmtId="0" fontId="18" fillId="0" borderId="20" xfId="65" applyBorder="1"/>
    <xf numFmtId="0" fontId="18" fillId="0" borderId="0" xfId="65" applyBorder="1" applyAlignment="1">
      <alignment horizontal="center"/>
    </xf>
    <xf numFmtId="0" fontId="18" fillId="0" borderId="0" xfId="65" applyBorder="1"/>
    <xf numFmtId="0" fontId="18" fillId="0" borderId="0" xfId="65" quotePrefix="1" applyBorder="1" applyAlignment="1">
      <alignment horizontal="center"/>
    </xf>
    <xf numFmtId="0" fontId="18" fillId="0" borderId="21" xfId="65" applyBorder="1" applyAlignment="1">
      <alignment horizontal="center"/>
    </xf>
    <xf numFmtId="0" fontId="18" fillId="0" borderId="21" xfId="65" applyBorder="1"/>
    <xf numFmtId="0" fontId="18" fillId="0" borderId="20" xfId="65" applyBorder="1" applyAlignment="1">
      <alignment horizontal="center"/>
    </xf>
    <xf numFmtId="165" fontId="18" fillId="0" borderId="0" xfId="65" applyNumberFormat="1" applyBorder="1"/>
    <xf numFmtId="165" fontId="18" fillId="0" borderId="0" xfId="65" applyNumberFormat="1" applyBorder="1" applyAlignment="1">
      <alignment horizontal="center"/>
    </xf>
    <xf numFmtId="0" fontId="19" fillId="0" borderId="0" xfId="65" applyFont="1" applyBorder="1" applyAlignment="1">
      <alignment horizontal="center"/>
    </xf>
    <xf numFmtId="165" fontId="18" fillId="0" borderId="21" xfId="65" applyNumberFormat="1" applyBorder="1" applyAlignment="1">
      <alignment horizontal="center"/>
    </xf>
    <xf numFmtId="165" fontId="19" fillId="0" borderId="0" xfId="65" applyNumberFormat="1" applyFont="1" applyBorder="1" applyAlignment="1">
      <alignment horizontal="center"/>
    </xf>
    <xf numFmtId="0" fontId="18" fillId="0" borderId="22" xfId="65" applyBorder="1" applyAlignment="1">
      <alignment horizontal="center"/>
    </xf>
    <xf numFmtId="0" fontId="18" fillId="0" borderId="1" xfId="65" applyBorder="1" applyAlignment="1">
      <alignment horizontal="center"/>
    </xf>
    <xf numFmtId="165" fontId="18" fillId="0" borderId="1" xfId="65" applyNumberFormat="1" applyBorder="1"/>
    <xf numFmtId="0" fontId="18" fillId="0" borderId="1" xfId="65" applyBorder="1"/>
    <xf numFmtId="165" fontId="18" fillId="0" borderId="1" xfId="65" applyNumberFormat="1" applyBorder="1" applyAlignment="1">
      <alignment horizontal="center"/>
    </xf>
    <xf numFmtId="165" fontId="19" fillId="0" borderId="1" xfId="65" applyNumberFormat="1" applyFont="1" applyBorder="1" applyAlignment="1">
      <alignment horizontal="center"/>
    </xf>
    <xf numFmtId="165" fontId="18" fillId="0" borderId="23" xfId="65" applyNumberFormat="1" applyBorder="1" applyAlignment="1">
      <alignment horizontal="center"/>
    </xf>
    <xf numFmtId="0" fontId="18" fillId="0" borderId="0" xfId="65" applyAlignment="1">
      <alignment horizontal="center"/>
    </xf>
    <xf numFmtId="165" fontId="18" fillId="0" borderId="0" xfId="65" applyNumberFormat="1"/>
    <xf numFmtId="165" fontId="18" fillId="0" borderId="0" xfId="65" applyNumberFormat="1" applyAlignment="1">
      <alignment horizontal="center"/>
    </xf>
    <xf numFmtId="0" fontId="19" fillId="0" borderId="17" xfId="65" applyFont="1" applyBorder="1" applyAlignment="1"/>
    <xf numFmtId="0" fontId="19" fillId="0" borderId="18" xfId="65" applyFont="1" applyBorder="1" applyAlignment="1"/>
    <xf numFmtId="0" fontId="19" fillId="0" borderId="19" xfId="65" applyFont="1" applyBorder="1" applyAlignment="1"/>
    <xf numFmtId="165" fontId="18" fillId="0" borderId="20" xfId="65" applyNumberFormat="1" applyBorder="1" applyAlignment="1">
      <alignment horizontal="center"/>
    </xf>
    <xf numFmtId="0" fontId="18" fillId="5" borderId="0" xfId="65" applyFill="1" applyBorder="1" applyAlignment="1">
      <alignment horizontal="center"/>
    </xf>
    <xf numFmtId="0" fontId="18" fillId="5" borderId="21" xfId="65" applyFill="1" applyBorder="1" applyAlignment="1">
      <alignment horizontal="center"/>
    </xf>
    <xf numFmtId="165" fontId="18" fillId="0" borderId="20" xfId="65" applyNumberFormat="1" applyFill="1" applyBorder="1" applyAlignment="1">
      <alignment horizontal="center"/>
    </xf>
    <xf numFmtId="0" fontId="18" fillId="0" borderId="0" xfId="65" applyFill="1" applyBorder="1"/>
    <xf numFmtId="0" fontId="18" fillId="0" borderId="23" xfId="65" applyBorder="1" applyAlignment="1">
      <alignment horizontal="center"/>
    </xf>
    <xf numFmtId="0" fontId="18" fillId="6" borderId="17" xfId="65" applyFill="1" applyBorder="1"/>
    <xf numFmtId="0" fontId="18" fillId="6" borderId="19" xfId="65" applyFill="1" applyBorder="1"/>
    <xf numFmtId="0" fontId="18" fillId="6" borderId="20" xfId="65" applyFill="1" applyBorder="1"/>
    <xf numFmtId="0" fontId="18" fillId="6" borderId="21" xfId="65" applyFill="1" applyBorder="1"/>
    <xf numFmtId="0" fontId="18" fillId="7" borderId="20" xfId="65" applyFill="1" applyBorder="1"/>
    <xf numFmtId="0" fontId="18" fillId="7" borderId="21" xfId="65" applyFill="1" applyBorder="1"/>
    <xf numFmtId="0" fontId="18" fillId="8" borderId="20" xfId="65" applyFill="1" applyBorder="1"/>
    <xf numFmtId="0" fontId="18" fillId="8" borderId="21" xfId="65" applyFill="1" applyBorder="1"/>
    <xf numFmtId="0" fontId="18" fillId="6" borderId="22" xfId="65" applyFill="1" applyBorder="1"/>
    <xf numFmtId="0" fontId="18" fillId="6" borderId="23" xfId="65" applyFill="1" applyBorder="1"/>
    <xf numFmtId="0" fontId="0" fillId="0" borderId="6" xfId="0" applyBorder="1"/>
    <xf numFmtId="0" fontId="0" fillId="0" borderId="0" xfId="0" applyFont="1" applyAlignment="1">
      <alignment horizontal="center"/>
    </xf>
    <xf numFmtId="0" fontId="0" fillId="0" borderId="10" xfId="0" applyFont="1" applyBorder="1" applyAlignment="1">
      <alignment horizontal="center" wrapText="1"/>
    </xf>
    <xf numFmtId="2" fontId="0" fillId="0" borderId="10" xfId="0" applyNumberFormat="1" applyFont="1" applyBorder="1" applyAlignment="1">
      <alignment horizontal="center" wrapText="1"/>
    </xf>
    <xf numFmtId="0" fontId="0" fillId="0" borderId="6" xfId="0" applyFont="1" applyBorder="1" applyAlignment="1">
      <alignment horizontal="center" wrapText="1"/>
    </xf>
    <xf numFmtId="0" fontId="0" fillId="0" borderId="5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10" xfId="0" applyBorder="1" applyAlignment="1">
      <alignment horizontal="center" wrapText="1"/>
    </xf>
    <xf numFmtId="2" fontId="0" fillId="0" borderId="0" xfId="0" applyNumberFormat="1" applyFont="1" applyBorder="1" applyAlignment="1">
      <alignment horizontal="center"/>
    </xf>
    <xf numFmtId="4" fontId="4" fillId="0" borderId="0" xfId="0" applyNumberFormat="1" applyFont="1" applyFill="1" applyBorder="1" applyAlignment="1">
      <alignment horizontal="center"/>
    </xf>
    <xf numFmtId="0" fontId="0" fillId="0" borderId="6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2" fontId="0" fillId="0" borderId="10" xfId="0" applyNumberFormat="1" applyBorder="1" applyAlignment="1">
      <alignment horizontal="center" wrapText="1"/>
    </xf>
    <xf numFmtId="0" fontId="1" fillId="0" borderId="0" xfId="0" applyFont="1" applyFill="1" applyBorder="1" applyAlignment="1">
      <alignment horizontal="center"/>
    </xf>
    <xf numFmtId="0" fontId="3" fillId="0" borderId="0" xfId="0" applyFont="1" applyAlignment="1">
      <alignment horizontal="center"/>
    </xf>
  </cellXfs>
  <cellStyles count="66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Normal" xfId="0" builtinId="0"/>
    <cellStyle name="Normal 2" xfId="6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9" Type="http://schemas.openxmlformats.org/officeDocument/2006/relationships/worksheet" Target="worksheets/sheet9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worksheet" Target="worksheets/sheet39.xml"/><Relationship Id="rId40" Type="http://schemas.openxmlformats.org/officeDocument/2006/relationships/worksheet" Target="worksheets/sheet40.xml"/><Relationship Id="rId41" Type="http://schemas.openxmlformats.org/officeDocument/2006/relationships/theme" Target="theme/theme1.xml"/><Relationship Id="rId42" Type="http://schemas.openxmlformats.org/officeDocument/2006/relationships/styles" Target="styles.xml"/><Relationship Id="rId43" Type="http://schemas.openxmlformats.org/officeDocument/2006/relationships/sharedStrings" Target="sharedStrings.xml"/><Relationship Id="rId4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</a:t>
            </a:r>
            <a:r>
              <a:rPr lang="en-US" baseline="0"/>
              <a:t> Slats: Thickness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A!$C$81:$C$87</c:f>
              <c:strCache>
                <c:ptCount val="7"/>
                <c:pt idx="0">
                  <c:v>0.35</c:v>
                </c:pt>
                <c:pt idx="1">
                  <c:v>0.36</c:v>
                </c:pt>
                <c:pt idx="2">
                  <c:v>0.37</c:v>
                </c:pt>
                <c:pt idx="3">
                  <c:v>0.38</c:v>
                </c:pt>
                <c:pt idx="4">
                  <c:v>0.39</c:v>
                </c:pt>
                <c:pt idx="5">
                  <c:v>0.4</c:v>
                </c:pt>
                <c:pt idx="6">
                  <c:v>More</c:v>
                </c:pt>
              </c:strCache>
            </c:strRef>
          </c:cat>
          <c:val>
            <c:numRef>
              <c:f>A!$D$81:$D$87</c:f>
              <c:numCache>
                <c:formatCode>General</c:formatCode>
                <c:ptCount val="7"/>
                <c:pt idx="0">
                  <c:v>0.0</c:v>
                </c:pt>
                <c:pt idx="1">
                  <c:v>2.0</c:v>
                </c:pt>
                <c:pt idx="2">
                  <c:v>19.0</c:v>
                </c:pt>
                <c:pt idx="3">
                  <c:v>122.0</c:v>
                </c:pt>
                <c:pt idx="4">
                  <c:v>123.0</c:v>
                </c:pt>
                <c:pt idx="5">
                  <c:v>4.0</c:v>
                </c:pt>
                <c:pt idx="6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2034808"/>
        <c:axId val="2094147704"/>
      </c:barChart>
      <c:catAx>
        <c:axId val="2072034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Thickness</a:t>
                </a:r>
                <a:r>
                  <a:rPr lang="en-US" baseline="0"/>
                  <a:t> (mm)</a:t>
                </a:r>
                <a:endParaRPr lang="en-US"/>
              </a:p>
            </c:rich>
          </c:tx>
          <c:overlay val="0"/>
        </c:title>
        <c:majorTickMark val="out"/>
        <c:minorTickMark val="none"/>
        <c:tickLblPos val="nextTo"/>
        <c:crossAx val="2094147704"/>
        <c:crosses val="autoZero"/>
        <c:auto val="1"/>
        <c:lblAlgn val="ctr"/>
        <c:lblOffset val="100"/>
        <c:noMultiLvlLbl val="0"/>
      </c:catAx>
      <c:valAx>
        <c:axId val="20941477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720348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4" l="0.700000000000001" r="0.700000000000001" t="0.750000000000004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</a:t>
            </a:r>
            <a:r>
              <a:rPr lang="en-US" baseline="0"/>
              <a:t> Slats: Thickness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F!$C$51:$C$67</c:f>
              <c:strCache>
                <c:ptCount val="17"/>
                <c:pt idx="0">
                  <c:v>0.94</c:v>
                </c:pt>
                <c:pt idx="1">
                  <c:v>0.95</c:v>
                </c:pt>
                <c:pt idx="2">
                  <c:v>0.96</c:v>
                </c:pt>
                <c:pt idx="3">
                  <c:v>0.97</c:v>
                </c:pt>
                <c:pt idx="4">
                  <c:v>0.98</c:v>
                </c:pt>
                <c:pt idx="5">
                  <c:v>0.99</c:v>
                </c:pt>
                <c:pt idx="6">
                  <c:v>1</c:v>
                </c:pt>
                <c:pt idx="7">
                  <c:v>1.01</c:v>
                </c:pt>
                <c:pt idx="8">
                  <c:v>1.02</c:v>
                </c:pt>
                <c:pt idx="9">
                  <c:v>1.03</c:v>
                </c:pt>
                <c:pt idx="10">
                  <c:v>1.04</c:v>
                </c:pt>
                <c:pt idx="11">
                  <c:v>1.05</c:v>
                </c:pt>
                <c:pt idx="12">
                  <c:v>1.06</c:v>
                </c:pt>
                <c:pt idx="13">
                  <c:v>1.07</c:v>
                </c:pt>
                <c:pt idx="14">
                  <c:v>1.08</c:v>
                </c:pt>
                <c:pt idx="15">
                  <c:v>1.09</c:v>
                </c:pt>
                <c:pt idx="16">
                  <c:v>More</c:v>
                </c:pt>
              </c:strCache>
            </c:strRef>
          </c:cat>
          <c:val>
            <c:numRef>
              <c:f>F!$D$51:$D$67</c:f>
              <c:numCache>
                <c:formatCode>General</c:formatCode>
                <c:ptCount val="17"/>
                <c:pt idx="0">
                  <c:v>0.0</c:v>
                </c:pt>
                <c:pt idx="1">
                  <c:v>5.0</c:v>
                </c:pt>
                <c:pt idx="2">
                  <c:v>2.0</c:v>
                </c:pt>
                <c:pt idx="3">
                  <c:v>1.0</c:v>
                </c:pt>
                <c:pt idx="4">
                  <c:v>3.0</c:v>
                </c:pt>
                <c:pt idx="5">
                  <c:v>3.0</c:v>
                </c:pt>
                <c:pt idx="6">
                  <c:v>15.0</c:v>
                </c:pt>
                <c:pt idx="7">
                  <c:v>13.0</c:v>
                </c:pt>
                <c:pt idx="8">
                  <c:v>16.0</c:v>
                </c:pt>
                <c:pt idx="9">
                  <c:v>44.0</c:v>
                </c:pt>
                <c:pt idx="10">
                  <c:v>27.0</c:v>
                </c:pt>
                <c:pt idx="11">
                  <c:v>12.0</c:v>
                </c:pt>
                <c:pt idx="12">
                  <c:v>5.0</c:v>
                </c:pt>
                <c:pt idx="13">
                  <c:v>4.0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4653032"/>
        <c:axId val="2094658712"/>
      </c:barChart>
      <c:catAx>
        <c:axId val="2094653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Thickness</a:t>
                </a:r>
                <a:r>
                  <a:rPr lang="en-US" baseline="0"/>
                  <a:t> (mm)</a:t>
                </a:r>
                <a:endParaRPr lang="en-US"/>
              </a:p>
            </c:rich>
          </c:tx>
          <c:overlay val="0"/>
        </c:title>
        <c:majorTickMark val="out"/>
        <c:minorTickMark val="none"/>
        <c:tickLblPos val="nextTo"/>
        <c:crossAx val="2094658712"/>
        <c:crosses val="autoZero"/>
        <c:auto val="1"/>
        <c:lblAlgn val="ctr"/>
        <c:lblOffset val="100"/>
        <c:noMultiLvlLbl val="0"/>
      </c:catAx>
      <c:valAx>
        <c:axId val="2094658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946530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4" l="0.700000000000001" r="0.700000000000001" t="0.750000000000004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Fs</a:t>
            </a:r>
            <a:r>
              <a:rPr lang="en-US" baseline="0"/>
              <a:t> Slats: Thickness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Fs!$C$45:$C$61</c:f>
              <c:strCache>
                <c:ptCount val="17"/>
                <c:pt idx="0">
                  <c:v>0.94</c:v>
                </c:pt>
                <c:pt idx="1">
                  <c:v>0.95</c:v>
                </c:pt>
                <c:pt idx="2">
                  <c:v>0.96</c:v>
                </c:pt>
                <c:pt idx="3">
                  <c:v>0.97</c:v>
                </c:pt>
                <c:pt idx="4">
                  <c:v>0.98</c:v>
                </c:pt>
                <c:pt idx="5">
                  <c:v>0.99</c:v>
                </c:pt>
                <c:pt idx="6">
                  <c:v>1</c:v>
                </c:pt>
                <c:pt idx="7">
                  <c:v>1.01</c:v>
                </c:pt>
                <c:pt idx="8">
                  <c:v>1.02</c:v>
                </c:pt>
                <c:pt idx="9">
                  <c:v>1.03</c:v>
                </c:pt>
                <c:pt idx="10">
                  <c:v>1.04</c:v>
                </c:pt>
                <c:pt idx="11">
                  <c:v>1.05</c:v>
                </c:pt>
                <c:pt idx="12">
                  <c:v>1.06</c:v>
                </c:pt>
                <c:pt idx="13">
                  <c:v>1.07</c:v>
                </c:pt>
                <c:pt idx="14">
                  <c:v>1.08</c:v>
                </c:pt>
                <c:pt idx="15">
                  <c:v>1.09</c:v>
                </c:pt>
                <c:pt idx="16">
                  <c:v>More</c:v>
                </c:pt>
              </c:strCache>
            </c:strRef>
          </c:cat>
          <c:val>
            <c:numRef>
              <c:f>Fs!$D$45:$D$61</c:f>
              <c:numCache>
                <c:formatCode>General</c:formatCode>
                <c:ptCount val="1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2.0</c:v>
                </c:pt>
                <c:pt idx="7">
                  <c:v>15.0</c:v>
                </c:pt>
                <c:pt idx="8">
                  <c:v>29.0</c:v>
                </c:pt>
                <c:pt idx="9">
                  <c:v>10.0</c:v>
                </c:pt>
                <c:pt idx="10">
                  <c:v>7.0</c:v>
                </c:pt>
                <c:pt idx="11">
                  <c:v>10.0</c:v>
                </c:pt>
                <c:pt idx="12">
                  <c:v>2.0</c:v>
                </c:pt>
                <c:pt idx="13">
                  <c:v>0.0</c:v>
                </c:pt>
                <c:pt idx="14">
                  <c:v>1.0</c:v>
                </c:pt>
                <c:pt idx="15">
                  <c:v>0.0</c:v>
                </c:pt>
                <c:pt idx="16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4699544"/>
        <c:axId val="2094705224"/>
      </c:barChart>
      <c:catAx>
        <c:axId val="2094699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Thickness</a:t>
                </a:r>
                <a:r>
                  <a:rPr lang="en-US" baseline="0"/>
                  <a:t> (mm)</a:t>
                </a:r>
                <a:endParaRPr lang="en-US"/>
              </a:p>
            </c:rich>
          </c:tx>
          <c:overlay val="0"/>
        </c:title>
        <c:majorTickMark val="out"/>
        <c:minorTickMark val="none"/>
        <c:tickLblPos val="nextTo"/>
        <c:crossAx val="2094705224"/>
        <c:crosses val="autoZero"/>
        <c:auto val="1"/>
        <c:lblAlgn val="ctr"/>
        <c:lblOffset val="100"/>
        <c:noMultiLvlLbl val="0"/>
      </c:catAx>
      <c:valAx>
        <c:axId val="20947052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946995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4" l="0.700000000000001" r="0.700000000000001" t="0.750000000000004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</a:t>
            </a:r>
            <a:r>
              <a:rPr lang="en-US" baseline="0"/>
              <a:t> Slats: Thickness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G!$C$47:$C$63</c:f>
              <c:strCache>
                <c:ptCount val="17"/>
                <c:pt idx="0">
                  <c:v>1.24</c:v>
                </c:pt>
                <c:pt idx="1">
                  <c:v>1.25</c:v>
                </c:pt>
                <c:pt idx="2">
                  <c:v>1.26</c:v>
                </c:pt>
                <c:pt idx="3">
                  <c:v>1.27</c:v>
                </c:pt>
                <c:pt idx="4">
                  <c:v>1.28</c:v>
                </c:pt>
                <c:pt idx="5">
                  <c:v>1.29</c:v>
                </c:pt>
                <c:pt idx="6">
                  <c:v>1.3</c:v>
                </c:pt>
                <c:pt idx="7">
                  <c:v>1.31</c:v>
                </c:pt>
                <c:pt idx="8">
                  <c:v>1.32</c:v>
                </c:pt>
                <c:pt idx="9">
                  <c:v>1.33</c:v>
                </c:pt>
                <c:pt idx="10">
                  <c:v>1.34</c:v>
                </c:pt>
                <c:pt idx="11">
                  <c:v>1.35</c:v>
                </c:pt>
                <c:pt idx="12">
                  <c:v>1.36</c:v>
                </c:pt>
                <c:pt idx="13">
                  <c:v>1.37</c:v>
                </c:pt>
                <c:pt idx="14">
                  <c:v>1.38</c:v>
                </c:pt>
                <c:pt idx="15">
                  <c:v>1.39</c:v>
                </c:pt>
                <c:pt idx="16">
                  <c:v>More</c:v>
                </c:pt>
              </c:strCache>
            </c:strRef>
          </c:cat>
          <c:val>
            <c:numRef>
              <c:f>G!$D$47:$D$63</c:f>
              <c:numCache>
                <c:formatCode>General</c:formatCode>
                <c:ptCount val="17"/>
                <c:pt idx="0">
                  <c:v>0.0</c:v>
                </c:pt>
                <c:pt idx="1">
                  <c:v>3.0</c:v>
                </c:pt>
                <c:pt idx="2">
                  <c:v>5.0</c:v>
                </c:pt>
                <c:pt idx="3">
                  <c:v>6.0</c:v>
                </c:pt>
                <c:pt idx="4">
                  <c:v>6.0</c:v>
                </c:pt>
                <c:pt idx="5">
                  <c:v>8.0</c:v>
                </c:pt>
                <c:pt idx="6">
                  <c:v>6.0</c:v>
                </c:pt>
                <c:pt idx="7">
                  <c:v>14.0</c:v>
                </c:pt>
                <c:pt idx="8">
                  <c:v>19.0</c:v>
                </c:pt>
                <c:pt idx="9">
                  <c:v>14.0</c:v>
                </c:pt>
                <c:pt idx="10">
                  <c:v>16.0</c:v>
                </c:pt>
                <c:pt idx="11">
                  <c:v>14.0</c:v>
                </c:pt>
                <c:pt idx="12">
                  <c:v>8.0</c:v>
                </c:pt>
                <c:pt idx="13">
                  <c:v>6.0</c:v>
                </c:pt>
                <c:pt idx="14">
                  <c:v>1.0</c:v>
                </c:pt>
                <c:pt idx="15">
                  <c:v>0.0</c:v>
                </c:pt>
                <c:pt idx="16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4754312"/>
        <c:axId val="2094759752"/>
      </c:barChart>
      <c:catAx>
        <c:axId val="2094754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Thickness (mm)</a:t>
                </a:r>
              </a:p>
            </c:rich>
          </c:tx>
          <c:overlay val="0"/>
        </c:title>
        <c:majorTickMark val="out"/>
        <c:minorTickMark val="none"/>
        <c:tickLblPos val="nextTo"/>
        <c:crossAx val="2094759752"/>
        <c:crosses val="autoZero"/>
        <c:auto val="1"/>
        <c:lblAlgn val="ctr"/>
        <c:lblOffset val="100"/>
        <c:noMultiLvlLbl val="0"/>
      </c:catAx>
      <c:valAx>
        <c:axId val="20947597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947543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4" l="0.700000000000001" r="0.700000000000001" t="0.750000000000004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Gs</a:t>
            </a:r>
            <a:r>
              <a:rPr lang="en-US" baseline="0"/>
              <a:t> Slats: Thickness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Gs!$C$40:$C$56</c:f>
              <c:strCache>
                <c:ptCount val="17"/>
                <c:pt idx="0">
                  <c:v>1.24</c:v>
                </c:pt>
                <c:pt idx="1">
                  <c:v>1.25</c:v>
                </c:pt>
                <c:pt idx="2">
                  <c:v>1.26</c:v>
                </c:pt>
                <c:pt idx="3">
                  <c:v>1.27</c:v>
                </c:pt>
                <c:pt idx="4">
                  <c:v>1.28</c:v>
                </c:pt>
                <c:pt idx="5">
                  <c:v>1.29</c:v>
                </c:pt>
                <c:pt idx="6">
                  <c:v>1.3</c:v>
                </c:pt>
                <c:pt idx="7">
                  <c:v>1.31</c:v>
                </c:pt>
                <c:pt idx="8">
                  <c:v>1.32</c:v>
                </c:pt>
                <c:pt idx="9">
                  <c:v>1.33</c:v>
                </c:pt>
                <c:pt idx="10">
                  <c:v>1.34</c:v>
                </c:pt>
                <c:pt idx="11">
                  <c:v>1.35</c:v>
                </c:pt>
                <c:pt idx="12">
                  <c:v>1.36</c:v>
                </c:pt>
                <c:pt idx="13">
                  <c:v>1.37</c:v>
                </c:pt>
                <c:pt idx="14">
                  <c:v>1.38</c:v>
                </c:pt>
                <c:pt idx="15">
                  <c:v>1.39</c:v>
                </c:pt>
                <c:pt idx="16">
                  <c:v>More</c:v>
                </c:pt>
              </c:strCache>
            </c:strRef>
          </c:cat>
          <c:val>
            <c:numRef>
              <c:f>Gs!$D$40:$D$56</c:f>
              <c:numCache>
                <c:formatCode>General</c:formatCode>
                <c:ptCount val="17"/>
                <c:pt idx="0">
                  <c:v>0.0</c:v>
                </c:pt>
                <c:pt idx="1">
                  <c:v>3.0</c:v>
                </c:pt>
                <c:pt idx="2">
                  <c:v>5.0</c:v>
                </c:pt>
                <c:pt idx="3">
                  <c:v>11.0</c:v>
                </c:pt>
                <c:pt idx="4">
                  <c:v>17.0</c:v>
                </c:pt>
                <c:pt idx="5">
                  <c:v>9.0</c:v>
                </c:pt>
                <c:pt idx="6">
                  <c:v>11.0</c:v>
                </c:pt>
                <c:pt idx="7">
                  <c:v>2.0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4800152"/>
        <c:axId val="2094805832"/>
      </c:barChart>
      <c:catAx>
        <c:axId val="2094800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Thickness</a:t>
                </a:r>
                <a:r>
                  <a:rPr lang="en-US" baseline="0"/>
                  <a:t> (mm)</a:t>
                </a:r>
                <a:endParaRPr lang="en-US"/>
              </a:p>
            </c:rich>
          </c:tx>
          <c:overlay val="0"/>
        </c:title>
        <c:majorTickMark val="out"/>
        <c:minorTickMark val="none"/>
        <c:tickLblPos val="nextTo"/>
        <c:crossAx val="2094805832"/>
        <c:crosses val="autoZero"/>
        <c:auto val="1"/>
        <c:lblAlgn val="ctr"/>
        <c:lblOffset val="100"/>
        <c:noMultiLvlLbl val="0"/>
      </c:catAx>
      <c:valAx>
        <c:axId val="20948058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948001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4" l="0.700000000000001" r="0.700000000000001" t="0.750000000000004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</a:t>
            </a:r>
            <a:r>
              <a:rPr lang="en-US" baseline="0"/>
              <a:t> Slats: Thickness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H!$C$42:$C$53</c:f>
              <c:strCache>
                <c:ptCount val="12"/>
                <c:pt idx="0">
                  <c:v>1.48</c:v>
                </c:pt>
                <c:pt idx="1">
                  <c:v>1.49</c:v>
                </c:pt>
                <c:pt idx="2">
                  <c:v>1.5</c:v>
                </c:pt>
                <c:pt idx="3">
                  <c:v>1.51</c:v>
                </c:pt>
                <c:pt idx="4">
                  <c:v>1.52</c:v>
                </c:pt>
                <c:pt idx="5">
                  <c:v>1.53</c:v>
                </c:pt>
                <c:pt idx="6">
                  <c:v>1.54</c:v>
                </c:pt>
                <c:pt idx="7">
                  <c:v>1.55</c:v>
                </c:pt>
                <c:pt idx="8">
                  <c:v>1.56</c:v>
                </c:pt>
                <c:pt idx="9">
                  <c:v>1.57</c:v>
                </c:pt>
                <c:pt idx="10">
                  <c:v>1.58</c:v>
                </c:pt>
                <c:pt idx="11">
                  <c:v>More</c:v>
                </c:pt>
              </c:strCache>
            </c:strRef>
          </c:cat>
          <c:val>
            <c:numRef>
              <c:f>H!$D$42:$D$53</c:f>
              <c:numCache>
                <c:formatCode>General</c:formatCode>
                <c:ptCount val="12"/>
                <c:pt idx="0">
                  <c:v>0.0</c:v>
                </c:pt>
                <c:pt idx="1">
                  <c:v>1.0</c:v>
                </c:pt>
                <c:pt idx="2">
                  <c:v>1.0</c:v>
                </c:pt>
                <c:pt idx="3">
                  <c:v>5.0</c:v>
                </c:pt>
                <c:pt idx="4">
                  <c:v>5.0</c:v>
                </c:pt>
                <c:pt idx="5">
                  <c:v>15.0</c:v>
                </c:pt>
                <c:pt idx="6">
                  <c:v>26.0</c:v>
                </c:pt>
                <c:pt idx="7">
                  <c:v>22.0</c:v>
                </c:pt>
                <c:pt idx="8">
                  <c:v>16.0</c:v>
                </c:pt>
                <c:pt idx="9">
                  <c:v>5.0</c:v>
                </c:pt>
                <c:pt idx="10">
                  <c:v>0.0</c:v>
                </c:pt>
                <c:pt idx="11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4853672"/>
        <c:axId val="2094859416"/>
      </c:barChart>
      <c:catAx>
        <c:axId val="2094853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Thickness</a:t>
                </a:r>
                <a:r>
                  <a:rPr lang="en-US" baseline="0"/>
                  <a:t> (mm)</a:t>
                </a:r>
                <a:endParaRPr lang="en-US"/>
              </a:p>
            </c:rich>
          </c:tx>
          <c:overlay val="0"/>
        </c:title>
        <c:majorTickMark val="out"/>
        <c:minorTickMark val="none"/>
        <c:tickLblPos val="nextTo"/>
        <c:crossAx val="2094859416"/>
        <c:crosses val="autoZero"/>
        <c:auto val="1"/>
        <c:lblAlgn val="ctr"/>
        <c:lblOffset val="100"/>
        <c:noMultiLvlLbl val="0"/>
      </c:catAx>
      <c:valAx>
        <c:axId val="20948594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948536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4" l="0.700000000000001" r="0.700000000000001" t="0.750000000000004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</a:t>
            </a:r>
            <a:r>
              <a:rPr lang="en-US" baseline="0"/>
              <a:t> Slats: Thickness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'H (2)'!$C$64:$C$75</c:f>
              <c:strCache>
                <c:ptCount val="12"/>
                <c:pt idx="0">
                  <c:v>1.48</c:v>
                </c:pt>
                <c:pt idx="1">
                  <c:v>1.49</c:v>
                </c:pt>
                <c:pt idx="2">
                  <c:v>1.5</c:v>
                </c:pt>
                <c:pt idx="3">
                  <c:v>1.51</c:v>
                </c:pt>
                <c:pt idx="4">
                  <c:v>1.52</c:v>
                </c:pt>
                <c:pt idx="5">
                  <c:v>1.53</c:v>
                </c:pt>
                <c:pt idx="6">
                  <c:v>1.54</c:v>
                </c:pt>
                <c:pt idx="7">
                  <c:v>1.55</c:v>
                </c:pt>
                <c:pt idx="8">
                  <c:v>1.56</c:v>
                </c:pt>
                <c:pt idx="9">
                  <c:v>1.57</c:v>
                </c:pt>
                <c:pt idx="10">
                  <c:v>1.58</c:v>
                </c:pt>
                <c:pt idx="11">
                  <c:v>More</c:v>
                </c:pt>
              </c:strCache>
            </c:strRef>
          </c:cat>
          <c:val>
            <c:numRef>
              <c:f>'H (2)'!$D$64:$D$75</c:f>
              <c:numCache>
                <c:formatCode>General</c:formatCode>
                <c:ptCount val="12"/>
                <c:pt idx="0">
                  <c:v>0.0</c:v>
                </c:pt>
                <c:pt idx="1">
                  <c:v>1.0</c:v>
                </c:pt>
                <c:pt idx="2">
                  <c:v>1.0</c:v>
                </c:pt>
                <c:pt idx="3">
                  <c:v>5.0</c:v>
                </c:pt>
                <c:pt idx="4">
                  <c:v>5.0</c:v>
                </c:pt>
                <c:pt idx="5">
                  <c:v>15.0</c:v>
                </c:pt>
                <c:pt idx="6">
                  <c:v>26.0</c:v>
                </c:pt>
                <c:pt idx="7">
                  <c:v>22.0</c:v>
                </c:pt>
                <c:pt idx="8">
                  <c:v>16.0</c:v>
                </c:pt>
                <c:pt idx="9">
                  <c:v>5.0</c:v>
                </c:pt>
                <c:pt idx="10">
                  <c:v>0.0</c:v>
                </c:pt>
                <c:pt idx="11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4900024"/>
        <c:axId val="2094905768"/>
      </c:barChart>
      <c:catAx>
        <c:axId val="2094900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Thickness</a:t>
                </a:r>
                <a:r>
                  <a:rPr lang="en-US" baseline="0"/>
                  <a:t> (mm)</a:t>
                </a:r>
                <a:endParaRPr lang="en-US"/>
              </a:p>
            </c:rich>
          </c:tx>
          <c:overlay val="0"/>
        </c:title>
        <c:majorTickMark val="out"/>
        <c:minorTickMark val="none"/>
        <c:tickLblPos val="nextTo"/>
        <c:crossAx val="2094905768"/>
        <c:crosses val="autoZero"/>
        <c:auto val="1"/>
        <c:lblAlgn val="ctr"/>
        <c:lblOffset val="100"/>
        <c:noMultiLvlLbl val="0"/>
      </c:catAx>
      <c:valAx>
        <c:axId val="20949057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949000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4" l="0.700000000000001" r="0.700000000000001" t="0.750000000000004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</a:t>
            </a:r>
            <a:r>
              <a:rPr lang="en-US" baseline="0"/>
              <a:t> Slats: Thickness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I!$C$42:$C$62</c:f>
              <c:strCache>
                <c:ptCount val="21"/>
                <c:pt idx="0">
                  <c:v>1.92</c:v>
                </c:pt>
                <c:pt idx="1">
                  <c:v>1.93</c:v>
                </c:pt>
                <c:pt idx="2">
                  <c:v>1.94</c:v>
                </c:pt>
                <c:pt idx="3">
                  <c:v>1.95</c:v>
                </c:pt>
                <c:pt idx="4">
                  <c:v>1.96</c:v>
                </c:pt>
                <c:pt idx="5">
                  <c:v>1.97</c:v>
                </c:pt>
                <c:pt idx="6">
                  <c:v>1.98</c:v>
                </c:pt>
                <c:pt idx="7">
                  <c:v>1.99</c:v>
                </c:pt>
                <c:pt idx="8">
                  <c:v>2</c:v>
                </c:pt>
                <c:pt idx="9">
                  <c:v>2.01</c:v>
                </c:pt>
                <c:pt idx="10">
                  <c:v>2.02</c:v>
                </c:pt>
                <c:pt idx="11">
                  <c:v>2.03</c:v>
                </c:pt>
                <c:pt idx="12">
                  <c:v>2.04</c:v>
                </c:pt>
                <c:pt idx="13">
                  <c:v>2.05</c:v>
                </c:pt>
                <c:pt idx="14">
                  <c:v>2.06</c:v>
                </c:pt>
                <c:pt idx="15">
                  <c:v>2.07</c:v>
                </c:pt>
                <c:pt idx="16">
                  <c:v>2.08</c:v>
                </c:pt>
                <c:pt idx="17">
                  <c:v>2.09</c:v>
                </c:pt>
                <c:pt idx="18">
                  <c:v>2.1</c:v>
                </c:pt>
                <c:pt idx="19">
                  <c:v>2.11</c:v>
                </c:pt>
                <c:pt idx="20">
                  <c:v>More</c:v>
                </c:pt>
              </c:strCache>
            </c:strRef>
          </c:cat>
          <c:val>
            <c:numRef>
              <c:f>I!$D$42:$D$62</c:f>
              <c:numCache>
                <c:formatCode>General</c:formatCode>
                <c:ptCount val="21"/>
                <c:pt idx="0">
                  <c:v>0.0</c:v>
                </c:pt>
                <c:pt idx="1">
                  <c:v>2.0</c:v>
                </c:pt>
                <c:pt idx="2">
                  <c:v>3.0</c:v>
                </c:pt>
                <c:pt idx="3">
                  <c:v>7.0</c:v>
                </c:pt>
                <c:pt idx="4">
                  <c:v>10.0</c:v>
                </c:pt>
                <c:pt idx="5">
                  <c:v>13.0</c:v>
                </c:pt>
                <c:pt idx="6">
                  <c:v>11.0</c:v>
                </c:pt>
                <c:pt idx="7">
                  <c:v>10.0</c:v>
                </c:pt>
                <c:pt idx="8">
                  <c:v>17.0</c:v>
                </c:pt>
                <c:pt idx="9">
                  <c:v>9.0</c:v>
                </c:pt>
                <c:pt idx="10">
                  <c:v>0.0</c:v>
                </c:pt>
                <c:pt idx="11">
                  <c:v>2.0</c:v>
                </c:pt>
                <c:pt idx="12">
                  <c:v>6.0</c:v>
                </c:pt>
                <c:pt idx="13">
                  <c:v>2.0</c:v>
                </c:pt>
                <c:pt idx="14">
                  <c:v>3.0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1.0</c:v>
                </c:pt>
                <c:pt idx="20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4959960"/>
        <c:axId val="2094965640"/>
      </c:barChart>
      <c:catAx>
        <c:axId val="2094959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Thickness</a:t>
                </a:r>
                <a:r>
                  <a:rPr lang="en-US" baseline="0"/>
                  <a:t> (mm)</a:t>
                </a:r>
                <a:endParaRPr lang="en-US"/>
              </a:p>
            </c:rich>
          </c:tx>
          <c:overlay val="0"/>
        </c:title>
        <c:majorTickMark val="out"/>
        <c:minorTickMark val="none"/>
        <c:tickLblPos val="nextTo"/>
        <c:crossAx val="2094965640"/>
        <c:crosses val="autoZero"/>
        <c:auto val="1"/>
        <c:lblAlgn val="ctr"/>
        <c:lblOffset val="100"/>
        <c:noMultiLvlLbl val="0"/>
      </c:catAx>
      <c:valAx>
        <c:axId val="20949656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949599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4" l="0.700000000000001" r="0.700000000000001" t="0.750000000000004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</a:t>
            </a:r>
            <a:r>
              <a:rPr lang="en-US" baseline="0"/>
              <a:t> Slats: Thickness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J!$C$37:$C$50</c:f>
              <c:strCache>
                <c:ptCount val="14"/>
                <c:pt idx="0">
                  <c:v>3.35</c:v>
                </c:pt>
                <c:pt idx="1">
                  <c:v>3.36</c:v>
                </c:pt>
                <c:pt idx="2">
                  <c:v>3.37</c:v>
                </c:pt>
                <c:pt idx="3">
                  <c:v>3.38</c:v>
                </c:pt>
                <c:pt idx="4">
                  <c:v>3.39</c:v>
                </c:pt>
                <c:pt idx="5">
                  <c:v>3.4</c:v>
                </c:pt>
                <c:pt idx="6">
                  <c:v>3.41</c:v>
                </c:pt>
                <c:pt idx="7">
                  <c:v>3.42</c:v>
                </c:pt>
                <c:pt idx="8">
                  <c:v>3.43</c:v>
                </c:pt>
                <c:pt idx="9">
                  <c:v>3.44</c:v>
                </c:pt>
                <c:pt idx="10">
                  <c:v>3.45</c:v>
                </c:pt>
                <c:pt idx="11">
                  <c:v>3.46</c:v>
                </c:pt>
                <c:pt idx="12">
                  <c:v>3.47</c:v>
                </c:pt>
                <c:pt idx="13">
                  <c:v>More</c:v>
                </c:pt>
              </c:strCache>
            </c:strRef>
          </c:cat>
          <c:val>
            <c:numRef>
              <c:f>J!$D$37:$D$50</c:f>
              <c:numCache>
                <c:formatCode>General</c:formatCode>
                <c:ptCount val="14"/>
                <c:pt idx="0">
                  <c:v>0.0</c:v>
                </c:pt>
                <c:pt idx="1">
                  <c:v>1.0</c:v>
                </c:pt>
                <c:pt idx="2">
                  <c:v>0.0</c:v>
                </c:pt>
                <c:pt idx="3">
                  <c:v>8.0</c:v>
                </c:pt>
                <c:pt idx="4">
                  <c:v>2.0</c:v>
                </c:pt>
                <c:pt idx="5">
                  <c:v>1.0</c:v>
                </c:pt>
                <c:pt idx="6">
                  <c:v>0.0</c:v>
                </c:pt>
                <c:pt idx="7">
                  <c:v>3.0</c:v>
                </c:pt>
                <c:pt idx="8">
                  <c:v>13.0</c:v>
                </c:pt>
                <c:pt idx="9">
                  <c:v>12.0</c:v>
                </c:pt>
                <c:pt idx="10">
                  <c:v>10.0</c:v>
                </c:pt>
                <c:pt idx="11">
                  <c:v>10.0</c:v>
                </c:pt>
                <c:pt idx="12">
                  <c:v>6.0</c:v>
                </c:pt>
                <c:pt idx="1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5015480"/>
        <c:axId val="2095021224"/>
      </c:barChart>
      <c:catAx>
        <c:axId val="2095015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Thickness</a:t>
                </a:r>
                <a:r>
                  <a:rPr lang="en-US" baseline="0"/>
                  <a:t> (mm)</a:t>
                </a:r>
                <a:endParaRPr lang="en-US"/>
              </a:p>
            </c:rich>
          </c:tx>
          <c:overlay val="0"/>
        </c:title>
        <c:majorTickMark val="out"/>
        <c:minorTickMark val="none"/>
        <c:tickLblPos val="nextTo"/>
        <c:crossAx val="2095021224"/>
        <c:crosses val="autoZero"/>
        <c:auto val="1"/>
        <c:lblAlgn val="ctr"/>
        <c:lblOffset val="100"/>
        <c:noMultiLvlLbl val="0"/>
      </c:catAx>
      <c:valAx>
        <c:axId val="20950212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950154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4" l="0.700000000000001" r="0.700000000000001" t="0.750000000000004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</a:t>
            </a:r>
            <a:r>
              <a:rPr lang="en-US" baseline="0"/>
              <a:t> Slats: Thickness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K!$C$31:$C$50</c:f>
              <c:strCache>
                <c:ptCount val="20"/>
                <c:pt idx="0">
                  <c:v>6.57</c:v>
                </c:pt>
                <c:pt idx="1">
                  <c:v>6.58</c:v>
                </c:pt>
                <c:pt idx="2">
                  <c:v>6.59</c:v>
                </c:pt>
                <c:pt idx="3">
                  <c:v>6.60</c:v>
                </c:pt>
                <c:pt idx="4">
                  <c:v>6.61</c:v>
                </c:pt>
                <c:pt idx="5">
                  <c:v>6.62</c:v>
                </c:pt>
                <c:pt idx="6">
                  <c:v>6.63</c:v>
                </c:pt>
                <c:pt idx="7">
                  <c:v>6.64</c:v>
                </c:pt>
                <c:pt idx="8">
                  <c:v>6.65</c:v>
                </c:pt>
                <c:pt idx="9">
                  <c:v>6.66</c:v>
                </c:pt>
                <c:pt idx="10">
                  <c:v>6.67</c:v>
                </c:pt>
                <c:pt idx="11">
                  <c:v>6.68</c:v>
                </c:pt>
                <c:pt idx="12">
                  <c:v>6.69</c:v>
                </c:pt>
                <c:pt idx="13">
                  <c:v>6.70</c:v>
                </c:pt>
                <c:pt idx="14">
                  <c:v>6.71</c:v>
                </c:pt>
                <c:pt idx="15">
                  <c:v>6.72</c:v>
                </c:pt>
                <c:pt idx="16">
                  <c:v>6.73</c:v>
                </c:pt>
                <c:pt idx="17">
                  <c:v>6.74</c:v>
                </c:pt>
                <c:pt idx="18">
                  <c:v>6.75</c:v>
                </c:pt>
                <c:pt idx="19">
                  <c:v>More</c:v>
                </c:pt>
              </c:strCache>
            </c:strRef>
          </c:cat>
          <c:val>
            <c:numRef>
              <c:f>K!$D$31:$D$50</c:f>
              <c:numCache>
                <c:formatCode>General</c:formatCode>
                <c:ptCount val="20"/>
                <c:pt idx="0">
                  <c:v>0.0</c:v>
                </c:pt>
                <c:pt idx="1">
                  <c:v>3.0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3.0</c:v>
                </c:pt>
                <c:pt idx="6">
                  <c:v>4.0</c:v>
                </c:pt>
                <c:pt idx="7">
                  <c:v>5.0</c:v>
                </c:pt>
                <c:pt idx="8">
                  <c:v>2.0</c:v>
                </c:pt>
                <c:pt idx="9">
                  <c:v>1.0</c:v>
                </c:pt>
                <c:pt idx="10">
                  <c:v>3.0</c:v>
                </c:pt>
                <c:pt idx="11">
                  <c:v>2.0</c:v>
                </c:pt>
                <c:pt idx="12">
                  <c:v>0.0</c:v>
                </c:pt>
                <c:pt idx="13">
                  <c:v>2.0</c:v>
                </c:pt>
                <c:pt idx="14">
                  <c:v>3.0</c:v>
                </c:pt>
                <c:pt idx="15">
                  <c:v>1.0</c:v>
                </c:pt>
                <c:pt idx="16">
                  <c:v>1.0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4111272"/>
        <c:axId val="2094105576"/>
      </c:barChart>
      <c:catAx>
        <c:axId val="2094111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Thickness</a:t>
                </a:r>
                <a:r>
                  <a:rPr lang="en-US" baseline="0"/>
                  <a:t> (mm)</a:t>
                </a:r>
                <a:endParaRPr lang="en-US"/>
              </a:p>
            </c:rich>
          </c:tx>
          <c:overlay val="0"/>
        </c:title>
        <c:majorTickMark val="out"/>
        <c:minorTickMark val="none"/>
        <c:tickLblPos val="nextTo"/>
        <c:crossAx val="2094105576"/>
        <c:crosses val="autoZero"/>
        <c:auto val="1"/>
        <c:lblAlgn val="ctr"/>
        <c:lblOffset val="100"/>
        <c:noMultiLvlLbl val="0"/>
      </c:catAx>
      <c:valAx>
        <c:axId val="20941055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941112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4" l="0.700000000000001" r="0.700000000000001" t="0.750000000000004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</a:t>
            </a:r>
            <a:r>
              <a:rPr lang="en-US" baseline="0"/>
              <a:t>s Slats: Thickness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Ks!$C$28:$C$47</c:f>
              <c:strCache>
                <c:ptCount val="20"/>
                <c:pt idx="0">
                  <c:v>6.57</c:v>
                </c:pt>
                <c:pt idx="1">
                  <c:v>6.58</c:v>
                </c:pt>
                <c:pt idx="2">
                  <c:v>6.59</c:v>
                </c:pt>
                <c:pt idx="3">
                  <c:v>6.60</c:v>
                </c:pt>
                <c:pt idx="4">
                  <c:v>6.61</c:v>
                </c:pt>
                <c:pt idx="5">
                  <c:v>6.62</c:v>
                </c:pt>
                <c:pt idx="6">
                  <c:v>6.63</c:v>
                </c:pt>
                <c:pt idx="7">
                  <c:v>6.64</c:v>
                </c:pt>
                <c:pt idx="8">
                  <c:v>6.65</c:v>
                </c:pt>
                <c:pt idx="9">
                  <c:v>6.66</c:v>
                </c:pt>
                <c:pt idx="10">
                  <c:v>6.67</c:v>
                </c:pt>
                <c:pt idx="11">
                  <c:v>6.68</c:v>
                </c:pt>
                <c:pt idx="12">
                  <c:v>6.69</c:v>
                </c:pt>
                <c:pt idx="13">
                  <c:v>6.70</c:v>
                </c:pt>
                <c:pt idx="14">
                  <c:v>6.71</c:v>
                </c:pt>
                <c:pt idx="15">
                  <c:v>6.72</c:v>
                </c:pt>
                <c:pt idx="16">
                  <c:v>6.73</c:v>
                </c:pt>
                <c:pt idx="17">
                  <c:v>6.74</c:v>
                </c:pt>
                <c:pt idx="18">
                  <c:v>6.75</c:v>
                </c:pt>
                <c:pt idx="19">
                  <c:v>More</c:v>
                </c:pt>
              </c:strCache>
            </c:strRef>
          </c:cat>
          <c:val>
            <c:numRef>
              <c:f>Ks!$D$28:$D$47</c:f>
              <c:numCache>
                <c:formatCode>General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1.0</c:v>
                </c:pt>
                <c:pt idx="10">
                  <c:v>1.0</c:v>
                </c:pt>
                <c:pt idx="11">
                  <c:v>2.0</c:v>
                </c:pt>
                <c:pt idx="12">
                  <c:v>0.0</c:v>
                </c:pt>
                <c:pt idx="13">
                  <c:v>0.0</c:v>
                </c:pt>
                <c:pt idx="14">
                  <c:v>1.0</c:v>
                </c:pt>
                <c:pt idx="15">
                  <c:v>1.0</c:v>
                </c:pt>
                <c:pt idx="16">
                  <c:v>3.0</c:v>
                </c:pt>
                <c:pt idx="17">
                  <c:v>3.0</c:v>
                </c:pt>
                <c:pt idx="18">
                  <c:v>0.0</c:v>
                </c:pt>
                <c:pt idx="1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4062904"/>
        <c:axId val="2094057208"/>
      </c:barChart>
      <c:catAx>
        <c:axId val="2094062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Thickness</a:t>
                </a:r>
                <a:r>
                  <a:rPr lang="en-US" baseline="0"/>
                  <a:t> (mm)</a:t>
                </a:r>
                <a:endParaRPr lang="en-US"/>
              </a:p>
            </c:rich>
          </c:tx>
          <c:overlay val="0"/>
        </c:title>
        <c:majorTickMark val="out"/>
        <c:minorTickMark val="none"/>
        <c:tickLblPos val="nextTo"/>
        <c:crossAx val="2094057208"/>
        <c:crosses val="autoZero"/>
        <c:auto val="1"/>
        <c:lblAlgn val="ctr"/>
        <c:lblOffset val="100"/>
        <c:noMultiLvlLbl val="0"/>
      </c:catAx>
      <c:valAx>
        <c:axId val="20940572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940629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4" l="0.700000000000001" r="0.700000000000001" t="0.750000000000004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As</a:t>
            </a:r>
            <a:r>
              <a:rPr lang="en-US" baseline="0"/>
              <a:t> Slats: Thickness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As!$C$55:$C$61</c:f>
              <c:strCache>
                <c:ptCount val="7"/>
                <c:pt idx="0">
                  <c:v>0.35</c:v>
                </c:pt>
                <c:pt idx="1">
                  <c:v>0.36</c:v>
                </c:pt>
                <c:pt idx="2">
                  <c:v>0.37</c:v>
                </c:pt>
                <c:pt idx="3">
                  <c:v>0.38</c:v>
                </c:pt>
                <c:pt idx="4">
                  <c:v>0.39</c:v>
                </c:pt>
                <c:pt idx="5">
                  <c:v>0.4</c:v>
                </c:pt>
                <c:pt idx="6">
                  <c:v>More</c:v>
                </c:pt>
              </c:strCache>
            </c:strRef>
          </c:cat>
          <c:val>
            <c:numRef>
              <c:f>As!$D$55:$D$61</c:f>
              <c:numCache>
                <c:formatCode>General</c:formatCode>
                <c:ptCount val="7"/>
                <c:pt idx="0">
                  <c:v>0.0</c:v>
                </c:pt>
                <c:pt idx="1">
                  <c:v>2.0</c:v>
                </c:pt>
                <c:pt idx="2">
                  <c:v>2.0</c:v>
                </c:pt>
                <c:pt idx="3">
                  <c:v>35.0</c:v>
                </c:pt>
                <c:pt idx="4">
                  <c:v>48.0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3090104"/>
        <c:axId val="2093084616"/>
      </c:barChart>
      <c:catAx>
        <c:axId val="2093090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Thickness</a:t>
                </a:r>
              </a:p>
            </c:rich>
          </c:tx>
          <c:overlay val="0"/>
        </c:title>
        <c:majorTickMark val="out"/>
        <c:minorTickMark val="none"/>
        <c:tickLblPos val="nextTo"/>
        <c:crossAx val="2093084616"/>
        <c:crosses val="autoZero"/>
        <c:auto val="1"/>
        <c:lblAlgn val="ctr"/>
        <c:lblOffset val="100"/>
        <c:noMultiLvlLbl val="0"/>
      </c:catAx>
      <c:valAx>
        <c:axId val="20930846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930901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4" l="0.700000000000001" r="0.700000000000001" t="0.750000000000004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</a:t>
            </a:r>
            <a:r>
              <a:rPr lang="en-US" baseline="0"/>
              <a:t> Slats: Thickness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B!$C$181:$C$191</c:f>
              <c:strCache>
                <c:ptCount val="11"/>
                <c:pt idx="0">
                  <c:v>0.46</c:v>
                </c:pt>
                <c:pt idx="1">
                  <c:v>0.47</c:v>
                </c:pt>
                <c:pt idx="2">
                  <c:v>0.48</c:v>
                </c:pt>
                <c:pt idx="3">
                  <c:v>0.49</c:v>
                </c:pt>
                <c:pt idx="4">
                  <c:v>0.5</c:v>
                </c:pt>
                <c:pt idx="5">
                  <c:v>0.51</c:v>
                </c:pt>
                <c:pt idx="6">
                  <c:v>0.52</c:v>
                </c:pt>
                <c:pt idx="7">
                  <c:v>0.53</c:v>
                </c:pt>
                <c:pt idx="8">
                  <c:v>0.54</c:v>
                </c:pt>
                <c:pt idx="9">
                  <c:v>0.55</c:v>
                </c:pt>
                <c:pt idx="10">
                  <c:v>More</c:v>
                </c:pt>
              </c:strCache>
            </c:strRef>
          </c:cat>
          <c:val>
            <c:numRef>
              <c:f>B!$D$181:$D$191</c:f>
              <c:numCache>
                <c:formatCode>General</c:formatCode>
                <c:ptCount val="11"/>
                <c:pt idx="0">
                  <c:v>0.0</c:v>
                </c:pt>
                <c:pt idx="1">
                  <c:v>2.0</c:v>
                </c:pt>
                <c:pt idx="2">
                  <c:v>30.0</c:v>
                </c:pt>
                <c:pt idx="3">
                  <c:v>152.0</c:v>
                </c:pt>
                <c:pt idx="4">
                  <c:v>348.0</c:v>
                </c:pt>
                <c:pt idx="5">
                  <c:v>223.0</c:v>
                </c:pt>
                <c:pt idx="6">
                  <c:v>15.0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4245416"/>
        <c:axId val="2094251176"/>
      </c:barChart>
      <c:catAx>
        <c:axId val="2094245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Thickness</a:t>
                </a:r>
                <a:r>
                  <a:rPr lang="en-US" baseline="0"/>
                  <a:t> (mm)</a:t>
                </a:r>
                <a:endParaRPr lang="en-US"/>
              </a:p>
            </c:rich>
          </c:tx>
          <c:overlay val="0"/>
        </c:title>
        <c:majorTickMark val="out"/>
        <c:minorTickMark val="none"/>
        <c:tickLblPos val="nextTo"/>
        <c:crossAx val="2094251176"/>
        <c:crosses val="autoZero"/>
        <c:auto val="1"/>
        <c:lblAlgn val="ctr"/>
        <c:lblOffset val="100"/>
        <c:noMultiLvlLbl val="0"/>
      </c:catAx>
      <c:valAx>
        <c:axId val="20942511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942454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" l="0.700000000000001" r="0.700000000000001" t="0.750000000000003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Bs Slats: Thickness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Bs!$D$63:$D$73</c:f>
              <c:strCache>
                <c:ptCount val="11"/>
                <c:pt idx="0">
                  <c:v>0.46</c:v>
                </c:pt>
                <c:pt idx="1">
                  <c:v>0.47</c:v>
                </c:pt>
                <c:pt idx="2">
                  <c:v>0.48</c:v>
                </c:pt>
                <c:pt idx="3">
                  <c:v>0.49</c:v>
                </c:pt>
                <c:pt idx="4">
                  <c:v>0.5</c:v>
                </c:pt>
                <c:pt idx="5">
                  <c:v>0.51</c:v>
                </c:pt>
                <c:pt idx="6">
                  <c:v>0.52</c:v>
                </c:pt>
                <c:pt idx="7">
                  <c:v>0.53</c:v>
                </c:pt>
                <c:pt idx="8">
                  <c:v>0.54</c:v>
                </c:pt>
                <c:pt idx="9">
                  <c:v>0.55</c:v>
                </c:pt>
                <c:pt idx="10">
                  <c:v>More</c:v>
                </c:pt>
              </c:strCache>
            </c:strRef>
          </c:cat>
          <c:val>
            <c:numRef>
              <c:f>Bs!$E$63:$E$73</c:f>
              <c:numCache>
                <c:formatCode>General</c:formatCode>
                <c:ptCount val="1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8.0</c:v>
                </c:pt>
                <c:pt idx="4">
                  <c:v>26.0</c:v>
                </c:pt>
                <c:pt idx="5">
                  <c:v>64.0</c:v>
                </c:pt>
                <c:pt idx="6">
                  <c:v>52.0</c:v>
                </c:pt>
                <c:pt idx="7">
                  <c:v>34.0</c:v>
                </c:pt>
                <c:pt idx="8">
                  <c:v>1.0</c:v>
                </c:pt>
                <c:pt idx="9">
                  <c:v>0.0</c:v>
                </c:pt>
                <c:pt idx="10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4309768"/>
        <c:axId val="2094315512"/>
      </c:barChart>
      <c:catAx>
        <c:axId val="2094309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thicknes</a:t>
                </a:r>
                <a:r>
                  <a:rPr lang="en-US" baseline="0"/>
                  <a:t>s (mm)</a:t>
                </a:r>
                <a:endParaRPr lang="en-US"/>
              </a:p>
            </c:rich>
          </c:tx>
          <c:overlay val="0"/>
        </c:title>
        <c:majorTickMark val="out"/>
        <c:minorTickMark val="none"/>
        <c:tickLblPos val="nextTo"/>
        <c:crossAx val="2094315512"/>
        <c:crosses val="autoZero"/>
        <c:auto val="1"/>
        <c:lblAlgn val="ctr"/>
        <c:lblOffset val="100"/>
        <c:noMultiLvlLbl val="0"/>
      </c:catAx>
      <c:valAx>
        <c:axId val="20943155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943097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" l="0.700000000000001" r="0.700000000000001" t="0.750000000000003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</a:t>
            </a:r>
            <a:r>
              <a:rPr lang="en-US" baseline="0"/>
              <a:t> Slats: Thickness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'C'!$C$56:$C$66</c:f>
              <c:strCache>
                <c:ptCount val="11"/>
                <c:pt idx="0">
                  <c:v>0.59</c:v>
                </c:pt>
                <c:pt idx="1">
                  <c:v>0.6</c:v>
                </c:pt>
                <c:pt idx="2">
                  <c:v>0.61</c:v>
                </c:pt>
                <c:pt idx="3">
                  <c:v>0.62</c:v>
                </c:pt>
                <c:pt idx="4">
                  <c:v>0.63</c:v>
                </c:pt>
                <c:pt idx="5">
                  <c:v>0.64</c:v>
                </c:pt>
                <c:pt idx="6">
                  <c:v>0.65</c:v>
                </c:pt>
                <c:pt idx="7">
                  <c:v>0.66</c:v>
                </c:pt>
                <c:pt idx="8">
                  <c:v>0.67</c:v>
                </c:pt>
                <c:pt idx="9">
                  <c:v>0.68</c:v>
                </c:pt>
                <c:pt idx="10">
                  <c:v>More</c:v>
                </c:pt>
              </c:strCache>
            </c:strRef>
          </c:cat>
          <c:val>
            <c:numRef>
              <c:f>'C'!$D$56:$D$66</c:f>
              <c:numCache>
                <c:formatCode>General</c:formatCode>
                <c:ptCount val="11"/>
                <c:pt idx="0">
                  <c:v>0.0</c:v>
                </c:pt>
                <c:pt idx="1">
                  <c:v>1.0</c:v>
                </c:pt>
                <c:pt idx="2">
                  <c:v>8.0</c:v>
                </c:pt>
                <c:pt idx="3">
                  <c:v>28.0</c:v>
                </c:pt>
                <c:pt idx="4">
                  <c:v>89.0</c:v>
                </c:pt>
                <c:pt idx="5">
                  <c:v>47.0</c:v>
                </c:pt>
                <c:pt idx="6">
                  <c:v>4.0</c:v>
                </c:pt>
                <c:pt idx="7">
                  <c:v>3.0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4367624"/>
        <c:axId val="2094373368"/>
      </c:barChart>
      <c:catAx>
        <c:axId val="2094367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Thicness</a:t>
                </a:r>
                <a:r>
                  <a:rPr lang="en-US" baseline="0"/>
                  <a:t> (mm)</a:t>
                </a:r>
                <a:endParaRPr lang="en-US"/>
              </a:p>
            </c:rich>
          </c:tx>
          <c:overlay val="0"/>
        </c:title>
        <c:majorTickMark val="out"/>
        <c:minorTickMark val="none"/>
        <c:tickLblPos val="nextTo"/>
        <c:crossAx val="2094373368"/>
        <c:crosses val="autoZero"/>
        <c:auto val="1"/>
        <c:lblAlgn val="ctr"/>
        <c:lblOffset val="100"/>
        <c:noMultiLvlLbl val="0"/>
      </c:catAx>
      <c:valAx>
        <c:axId val="20943733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943676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4" l="0.700000000000001" r="0.700000000000001" t="0.750000000000004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</a:t>
            </a:r>
            <a:r>
              <a:rPr lang="en-US" baseline="0"/>
              <a:t> Slats: Thickness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'C (2)'!$C$88:$C$98</c:f>
              <c:strCache>
                <c:ptCount val="11"/>
                <c:pt idx="0">
                  <c:v>0.59</c:v>
                </c:pt>
                <c:pt idx="1">
                  <c:v>0.6</c:v>
                </c:pt>
                <c:pt idx="2">
                  <c:v>0.61</c:v>
                </c:pt>
                <c:pt idx="3">
                  <c:v>0.62</c:v>
                </c:pt>
                <c:pt idx="4">
                  <c:v>0.63</c:v>
                </c:pt>
                <c:pt idx="5">
                  <c:v>0.64</c:v>
                </c:pt>
                <c:pt idx="6">
                  <c:v>0.65</c:v>
                </c:pt>
                <c:pt idx="7">
                  <c:v>0.66</c:v>
                </c:pt>
                <c:pt idx="8">
                  <c:v>0.67</c:v>
                </c:pt>
                <c:pt idx="9">
                  <c:v>0.68</c:v>
                </c:pt>
                <c:pt idx="10">
                  <c:v>More</c:v>
                </c:pt>
              </c:strCache>
            </c:strRef>
          </c:cat>
          <c:val>
            <c:numRef>
              <c:f>'C (2)'!$D$88:$D$98</c:f>
              <c:numCache>
                <c:formatCode>General</c:formatCode>
                <c:ptCount val="11"/>
                <c:pt idx="0">
                  <c:v>0.0</c:v>
                </c:pt>
                <c:pt idx="1">
                  <c:v>1.0</c:v>
                </c:pt>
                <c:pt idx="2">
                  <c:v>8.0</c:v>
                </c:pt>
                <c:pt idx="3">
                  <c:v>28.0</c:v>
                </c:pt>
                <c:pt idx="4">
                  <c:v>89.0</c:v>
                </c:pt>
                <c:pt idx="5">
                  <c:v>47.0</c:v>
                </c:pt>
                <c:pt idx="6">
                  <c:v>4.0</c:v>
                </c:pt>
                <c:pt idx="7">
                  <c:v>3.0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4413688"/>
        <c:axId val="2094419432"/>
      </c:barChart>
      <c:catAx>
        <c:axId val="2094413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Thicness</a:t>
                </a:r>
                <a:r>
                  <a:rPr lang="en-US" baseline="0"/>
                  <a:t> (mm)</a:t>
                </a:r>
                <a:endParaRPr lang="en-US"/>
              </a:p>
            </c:rich>
          </c:tx>
          <c:overlay val="0"/>
        </c:title>
        <c:majorTickMark val="out"/>
        <c:minorTickMark val="none"/>
        <c:tickLblPos val="nextTo"/>
        <c:crossAx val="2094419432"/>
        <c:crosses val="autoZero"/>
        <c:auto val="1"/>
        <c:lblAlgn val="ctr"/>
        <c:lblOffset val="100"/>
        <c:noMultiLvlLbl val="0"/>
      </c:catAx>
      <c:valAx>
        <c:axId val="20944194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944136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4" l="0.700000000000001" r="0.700000000000001" t="0.750000000000004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</a:t>
            </a:r>
            <a:r>
              <a:rPr lang="en-US" baseline="0"/>
              <a:t> Slats: Thickness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D!$C$68:$C$78</c:f>
              <c:strCache>
                <c:ptCount val="11"/>
                <c:pt idx="0">
                  <c:v>0.72</c:v>
                </c:pt>
                <c:pt idx="1">
                  <c:v>0.73</c:v>
                </c:pt>
                <c:pt idx="2">
                  <c:v>0.74</c:v>
                </c:pt>
                <c:pt idx="3">
                  <c:v>0.75</c:v>
                </c:pt>
                <c:pt idx="4">
                  <c:v>0.76</c:v>
                </c:pt>
                <c:pt idx="5">
                  <c:v>0.77</c:v>
                </c:pt>
                <c:pt idx="6">
                  <c:v>0.78</c:v>
                </c:pt>
                <c:pt idx="7">
                  <c:v>0.79</c:v>
                </c:pt>
                <c:pt idx="8">
                  <c:v>0.8</c:v>
                </c:pt>
                <c:pt idx="9">
                  <c:v>0.81</c:v>
                </c:pt>
                <c:pt idx="10">
                  <c:v>More</c:v>
                </c:pt>
              </c:strCache>
            </c:strRef>
          </c:cat>
          <c:val>
            <c:numRef>
              <c:f>D!$D$68:$D$78</c:f>
              <c:numCache>
                <c:formatCode>General</c:formatCode>
                <c:ptCount val="11"/>
                <c:pt idx="0">
                  <c:v>0.0</c:v>
                </c:pt>
                <c:pt idx="1">
                  <c:v>4.0</c:v>
                </c:pt>
                <c:pt idx="2">
                  <c:v>16.0</c:v>
                </c:pt>
                <c:pt idx="3">
                  <c:v>34.0</c:v>
                </c:pt>
                <c:pt idx="4">
                  <c:v>49.0</c:v>
                </c:pt>
                <c:pt idx="5">
                  <c:v>59.0</c:v>
                </c:pt>
                <c:pt idx="6">
                  <c:v>63.0</c:v>
                </c:pt>
                <c:pt idx="7">
                  <c:v>20.0</c:v>
                </c:pt>
                <c:pt idx="8">
                  <c:v>7.0</c:v>
                </c:pt>
                <c:pt idx="9">
                  <c:v>0.0</c:v>
                </c:pt>
                <c:pt idx="10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4481656"/>
        <c:axId val="2094487400"/>
      </c:barChart>
      <c:catAx>
        <c:axId val="2094481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Thickness</a:t>
                </a:r>
                <a:r>
                  <a:rPr lang="en-US" baseline="0"/>
                  <a:t> (mm)</a:t>
                </a:r>
                <a:endParaRPr lang="en-US"/>
              </a:p>
            </c:rich>
          </c:tx>
          <c:overlay val="0"/>
        </c:title>
        <c:majorTickMark val="out"/>
        <c:minorTickMark val="none"/>
        <c:tickLblPos val="nextTo"/>
        <c:crossAx val="2094487400"/>
        <c:crosses val="autoZero"/>
        <c:auto val="1"/>
        <c:lblAlgn val="ctr"/>
        <c:lblOffset val="100"/>
        <c:noMultiLvlLbl val="0"/>
      </c:catAx>
      <c:valAx>
        <c:axId val="20944874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944816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4" l="0.700000000000001" r="0.700000000000001" t="0.750000000000004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</a:t>
            </a:r>
            <a:r>
              <a:rPr lang="en-US" baseline="0"/>
              <a:t> Slats: Thickness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E!$C$63:$C$74</c:f>
              <c:strCache>
                <c:ptCount val="12"/>
                <c:pt idx="0">
                  <c:v>0.84</c:v>
                </c:pt>
                <c:pt idx="1">
                  <c:v>0.85</c:v>
                </c:pt>
                <c:pt idx="2">
                  <c:v>0.86</c:v>
                </c:pt>
                <c:pt idx="3">
                  <c:v>0.87</c:v>
                </c:pt>
                <c:pt idx="4">
                  <c:v>0.88</c:v>
                </c:pt>
                <c:pt idx="5">
                  <c:v>0.89</c:v>
                </c:pt>
                <c:pt idx="6">
                  <c:v>0.9</c:v>
                </c:pt>
                <c:pt idx="7">
                  <c:v>0.91</c:v>
                </c:pt>
                <c:pt idx="8">
                  <c:v>0.92</c:v>
                </c:pt>
                <c:pt idx="9">
                  <c:v>0.93</c:v>
                </c:pt>
                <c:pt idx="10">
                  <c:v>0.94</c:v>
                </c:pt>
                <c:pt idx="11">
                  <c:v>More</c:v>
                </c:pt>
              </c:strCache>
            </c:strRef>
          </c:cat>
          <c:val>
            <c:numRef>
              <c:f>E!$D$63:$D$74</c:f>
              <c:numCache>
                <c:formatCode>General</c:formatCode>
                <c:ptCount val="12"/>
                <c:pt idx="0">
                  <c:v>0.0</c:v>
                </c:pt>
                <c:pt idx="1">
                  <c:v>2.0</c:v>
                </c:pt>
                <c:pt idx="2">
                  <c:v>8.0</c:v>
                </c:pt>
                <c:pt idx="3">
                  <c:v>14.0</c:v>
                </c:pt>
                <c:pt idx="4">
                  <c:v>43.0</c:v>
                </c:pt>
                <c:pt idx="5">
                  <c:v>62.0</c:v>
                </c:pt>
                <c:pt idx="6">
                  <c:v>38.0</c:v>
                </c:pt>
                <c:pt idx="7">
                  <c:v>40.0</c:v>
                </c:pt>
                <c:pt idx="8">
                  <c:v>11.0</c:v>
                </c:pt>
                <c:pt idx="9">
                  <c:v>4.0</c:v>
                </c:pt>
                <c:pt idx="10">
                  <c:v>0.0</c:v>
                </c:pt>
                <c:pt idx="11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4544520"/>
        <c:axId val="2094550264"/>
      </c:barChart>
      <c:catAx>
        <c:axId val="2094544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Thickness</a:t>
                </a:r>
                <a:r>
                  <a:rPr lang="en-US" baseline="0"/>
                  <a:t> (mm)</a:t>
                </a:r>
                <a:endParaRPr lang="en-US"/>
              </a:p>
            </c:rich>
          </c:tx>
          <c:overlay val="0"/>
        </c:title>
        <c:majorTickMark val="out"/>
        <c:minorTickMark val="none"/>
        <c:tickLblPos val="nextTo"/>
        <c:crossAx val="2094550264"/>
        <c:crosses val="autoZero"/>
        <c:auto val="1"/>
        <c:lblAlgn val="ctr"/>
        <c:lblOffset val="100"/>
        <c:noMultiLvlLbl val="0"/>
      </c:catAx>
      <c:valAx>
        <c:axId val="20945502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945445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" l="0.700000000000001" r="0.700000000000001" t="0.750000000000003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Es Slats:</a:t>
            </a:r>
            <a:r>
              <a:rPr lang="en-US" baseline="0"/>
              <a:t> Thickness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Es!$C$43:$C$54</c:f>
              <c:strCache>
                <c:ptCount val="12"/>
                <c:pt idx="0">
                  <c:v>0.84</c:v>
                </c:pt>
                <c:pt idx="1">
                  <c:v>0.85</c:v>
                </c:pt>
                <c:pt idx="2">
                  <c:v>0.86</c:v>
                </c:pt>
                <c:pt idx="3">
                  <c:v>0.87</c:v>
                </c:pt>
                <c:pt idx="4">
                  <c:v>0.88</c:v>
                </c:pt>
                <c:pt idx="5">
                  <c:v>0.89</c:v>
                </c:pt>
                <c:pt idx="6">
                  <c:v>0.9</c:v>
                </c:pt>
                <c:pt idx="7">
                  <c:v>0.91</c:v>
                </c:pt>
                <c:pt idx="8">
                  <c:v>0.92</c:v>
                </c:pt>
                <c:pt idx="9">
                  <c:v>0.93</c:v>
                </c:pt>
                <c:pt idx="10">
                  <c:v>0.94</c:v>
                </c:pt>
                <c:pt idx="11">
                  <c:v>More</c:v>
                </c:pt>
              </c:strCache>
            </c:strRef>
          </c:cat>
          <c:val>
            <c:numRef>
              <c:f>Es!$D$43:$D$54</c:f>
              <c:numCache>
                <c:formatCode>General</c:formatCode>
                <c:ptCount val="12"/>
                <c:pt idx="0">
                  <c:v>0.0</c:v>
                </c:pt>
                <c:pt idx="1">
                  <c:v>1.0</c:v>
                </c:pt>
                <c:pt idx="2">
                  <c:v>7.0</c:v>
                </c:pt>
                <c:pt idx="3">
                  <c:v>11.0</c:v>
                </c:pt>
                <c:pt idx="4">
                  <c:v>27.0</c:v>
                </c:pt>
                <c:pt idx="5">
                  <c:v>8.0</c:v>
                </c:pt>
                <c:pt idx="6">
                  <c:v>8.0</c:v>
                </c:pt>
                <c:pt idx="7">
                  <c:v>6.0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4593304"/>
        <c:axId val="2094599048"/>
      </c:barChart>
      <c:catAx>
        <c:axId val="2094593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Thickness</a:t>
                </a:r>
                <a:r>
                  <a:rPr lang="en-US" baseline="0"/>
                  <a:t> (mm)</a:t>
                </a:r>
                <a:endParaRPr lang="en-US"/>
              </a:p>
            </c:rich>
          </c:tx>
          <c:overlay val="0"/>
        </c:title>
        <c:majorTickMark val="out"/>
        <c:minorTickMark val="none"/>
        <c:tickLblPos val="nextTo"/>
        <c:crossAx val="2094599048"/>
        <c:crosses val="autoZero"/>
        <c:auto val="1"/>
        <c:lblAlgn val="ctr"/>
        <c:lblOffset val="100"/>
        <c:noMultiLvlLbl val="0"/>
      </c:catAx>
      <c:valAx>
        <c:axId val="20945990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94593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4" l="0.700000000000001" r="0.700000000000001" t="0.750000000000004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79</xdr:row>
      <xdr:rowOff>0</xdr:rowOff>
    </xdr:from>
    <xdr:to>
      <xdr:col>16</xdr:col>
      <xdr:colOff>44823</xdr:colOff>
      <xdr:row>89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49</xdr:row>
      <xdr:rowOff>0</xdr:rowOff>
    </xdr:from>
    <xdr:to>
      <xdr:col>16</xdr:col>
      <xdr:colOff>0</xdr:colOff>
      <xdr:row>66</xdr:row>
      <xdr:rowOff>54428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42</xdr:row>
      <xdr:rowOff>204106</xdr:rowOff>
    </xdr:from>
    <xdr:to>
      <xdr:col>15</xdr:col>
      <xdr:colOff>517072</xdr:colOff>
      <xdr:row>60</xdr:row>
      <xdr:rowOff>149679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44</xdr:row>
      <xdr:rowOff>204106</xdr:rowOff>
    </xdr:from>
    <xdr:to>
      <xdr:col>16</xdr:col>
      <xdr:colOff>0</xdr:colOff>
      <xdr:row>62</xdr:row>
      <xdr:rowOff>27214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38</xdr:row>
      <xdr:rowOff>-1</xdr:rowOff>
    </xdr:from>
    <xdr:to>
      <xdr:col>15</xdr:col>
      <xdr:colOff>408215</xdr:colOff>
      <xdr:row>55</xdr:row>
      <xdr:rowOff>108856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40</xdr:row>
      <xdr:rowOff>-1</xdr:rowOff>
    </xdr:from>
    <xdr:to>
      <xdr:col>14</xdr:col>
      <xdr:colOff>421821</xdr:colOff>
      <xdr:row>55</xdr:row>
      <xdr:rowOff>68035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62</xdr:row>
      <xdr:rowOff>-1</xdr:rowOff>
    </xdr:from>
    <xdr:to>
      <xdr:col>14</xdr:col>
      <xdr:colOff>421821</xdr:colOff>
      <xdr:row>77</xdr:row>
      <xdr:rowOff>68035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39</xdr:row>
      <xdr:rowOff>204106</xdr:rowOff>
    </xdr:from>
    <xdr:to>
      <xdr:col>16</xdr:col>
      <xdr:colOff>0</xdr:colOff>
      <xdr:row>61</xdr:row>
      <xdr:rowOff>122465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612320</xdr:colOff>
      <xdr:row>34</xdr:row>
      <xdr:rowOff>204106</xdr:rowOff>
    </xdr:from>
    <xdr:to>
      <xdr:col>16</xdr:col>
      <xdr:colOff>0</xdr:colOff>
      <xdr:row>51</xdr:row>
      <xdr:rowOff>68035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449035</xdr:colOff>
      <xdr:row>28</xdr:row>
      <xdr:rowOff>190499</xdr:rowOff>
    </xdr:from>
    <xdr:to>
      <xdr:col>17</xdr:col>
      <xdr:colOff>91168</xdr:colOff>
      <xdr:row>49</xdr:row>
      <xdr:rowOff>40821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26</xdr:row>
      <xdr:rowOff>0</xdr:rowOff>
    </xdr:from>
    <xdr:to>
      <xdr:col>13</xdr:col>
      <xdr:colOff>313765</xdr:colOff>
      <xdr:row>42</xdr:row>
      <xdr:rowOff>179294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489856</xdr:colOff>
      <xdr:row>53</xdr:row>
      <xdr:rowOff>0</xdr:rowOff>
    </xdr:from>
    <xdr:to>
      <xdr:col>19</xdr:col>
      <xdr:colOff>449036</xdr:colOff>
      <xdr:row>63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-1</xdr:colOff>
      <xdr:row>179</xdr:row>
      <xdr:rowOff>0</xdr:rowOff>
    </xdr:from>
    <xdr:to>
      <xdr:col>16</xdr:col>
      <xdr:colOff>625927</xdr:colOff>
      <xdr:row>192</xdr:row>
      <xdr:rowOff>176893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61</xdr:row>
      <xdr:rowOff>0</xdr:rowOff>
    </xdr:from>
    <xdr:to>
      <xdr:col>15</xdr:col>
      <xdr:colOff>136071</xdr:colOff>
      <xdr:row>74</xdr:row>
      <xdr:rowOff>81643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54</xdr:row>
      <xdr:rowOff>-1</xdr:rowOff>
    </xdr:from>
    <xdr:to>
      <xdr:col>16</xdr:col>
      <xdr:colOff>0</xdr:colOff>
      <xdr:row>69</xdr:row>
      <xdr:rowOff>17318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95250</xdr:colOff>
      <xdr:row>67</xdr:row>
      <xdr:rowOff>31749</xdr:rowOff>
    </xdr:from>
    <xdr:to>
      <xdr:col>27</xdr:col>
      <xdr:colOff>127000</xdr:colOff>
      <xdr:row>82</xdr:row>
      <xdr:rowOff>80818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66</xdr:row>
      <xdr:rowOff>0</xdr:rowOff>
    </xdr:from>
    <xdr:to>
      <xdr:col>16</xdr:col>
      <xdr:colOff>190500</xdr:colOff>
      <xdr:row>81</xdr:row>
      <xdr:rowOff>138546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61</xdr:row>
      <xdr:rowOff>1</xdr:rowOff>
    </xdr:from>
    <xdr:to>
      <xdr:col>15</xdr:col>
      <xdr:colOff>258536</xdr:colOff>
      <xdr:row>75</xdr:row>
      <xdr:rowOff>13607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40</xdr:row>
      <xdr:rowOff>204106</xdr:rowOff>
    </xdr:from>
    <xdr:to>
      <xdr:col>16</xdr:col>
      <xdr:colOff>108857</xdr:colOff>
      <xdr:row>55</xdr:row>
      <xdr:rowOff>40821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90"/>
  <sheetViews>
    <sheetView zoomScale="80" zoomScaleNormal="80" zoomScaleSheetLayoutView="85" zoomScalePageLayoutView="80" workbookViewId="0">
      <selection activeCell="B23" sqref="B23"/>
    </sheetView>
  </sheetViews>
  <sheetFormatPr baseColWidth="10" defaultColWidth="8.83203125" defaultRowHeight="14" x14ac:dyDescent="0"/>
  <cols>
    <col min="1" max="1" width="5.33203125" customWidth="1"/>
    <col min="2" max="2" width="15.33203125" customWidth="1"/>
    <col min="3" max="3" width="6" customWidth="1"/>
    <col min="4" max="4" width="4.5" customWidth="1"/>
    <col min="5" max="5" width="6" customWidth="1"/>
    <col min="6" max="9" width="4.5" customWidth="1"/>
    <col min="10" max="10" width="2.6640625" bestFit="1" customWidth="1"/>
    <col min="11" max="12" width="6.1640625" customWidth="1"/>
    <col min="13" max="16" width="2.83203125" customWidth="1"/>
    <col min="17" max="17" width="9.5" bestFit="1" customWidth="1"/>
    <col min="18" max="18" width="7.1640625" customWidth="1"/>
    <col min="19" max="19" width="7.5" customWidth="1"/>
    <col min="20" max="20" width="6.5" customWidth="1"/>
    <col min="21" max="21" width="9.5" bestFit="1" customWidth="1"/>
    <col min="22" max="22" width="9.5" customWidth="1"/>
    <col min="25" max="25" width="11.5" customWidth="1"/>
    <col min="27" max="27" width="12.1640625" customWidth="1"/>
  </cols>
  <sheetData>
    <row r="1" spans="1:28">
      <c r="A1" s="81" t="s">
        <v>49</v>
      </c>
      <c r="B1" s="81"/>
      <c r="C1" s="79"/>
      <c r="D1" s="79"/>
      <c r="E1" s="80"/>
      <c r="F1" s="80"/>
      <c r="G1" s="80"/>
      <c r="H1" s="80"/>
      <c r="I1" s="80"/>
      <c r="J1" s="80"/>
      <c r="K1" s="79"/>
      <c r="L1" s="79"/>
      <c r="M1" s="1"/>
      <c r="N1" s="79"/>
      <c r="O1" s="79"/>
      <c r="P1" s="79"/>
      <c r="Q1" s="1"/>
      <c r="R1" s="78"/>
      <c r="S1" s="78"/>
      <c r="T1" s="78"/>
      <c r="U1" s="1"/>
      <c r="V1" s="1"/>
      <c r="W1" s="1"/>
      <c r="X1" s="1"/>
      <c r="Y1" s="1"/>
      <c r="Z1" s="1"/>
    </row>
    <row r="2" spans="1:28">
      <c r="A2" s="81" t="s">
        <v>48</v>
      </c>
      <c r="B2" s="81"/>
      <c r="C2" s="79"/>
      <c r="D2" s="79"/>
      <c r="E2" s="80"/>
      <c r="F2" s="80"/>
      <c r="G2" s="80"/>
      <c r="H2" s="80"/>
      <c r="I2" s="80"/>
      <c r="J2" s="80"/>
      <c r="K2" s="79"/>
      <c r="L2" s="79"/>
      <c r="M2" s="1"/>
      <c r="N2" s="79"/>
      <c r="O2" s="79"/>
      <c r="P2" s="79"/>
      <c r="Q2" s="1"/>
      <c r="R2" s="78"/>
      <c r="S2" s="78"/>
      <c r="T2" s="78"/>
      <c r="U2" s="1"/>
      <c r="V2" s="1"/>
      <c r="W2" s="1"/>
      <c r="X2" s="1"/>
      <c r="Y2" s="1"/>
      <c r="Z2" s="1"/>
    </row>
    <row r="3" spans="1:28">
      <c r="A3" s="81" t="s">
        <v>47</v>
      </c>
      <c r="B3" s="81"/>
      <c r="C3" s="79"/>
      <c r="D3" s="79"/>
      <c r="E3" s="80"/>
      <c r="F3" s="80"/>
      <c r="G3" s="80"/>
      <c r="H3" s="80"/>
      <c r="I3" s="80"/>
      <c r="J3" s="80"/>
      <c r="K3" s="79"/>
      <c r="L3" s="79"/>
      <c r="M3" s="1"/>
      <c r="N3" s="79"/>
      <c r="O3" s="79"/>
      <c r="P3" s="79"/>
      <c r="Q3" s="1"/>
      <c r="R3" s="78"/>
      <c r="S3" s="78"/>
      <c r="T3" s="78"/>
      <c r="U3" s="1"/>
      <c r="V3" s="1"/>
      <c r="W3" s="1"/>
      <c r="X3" s="1"/>
      <c r="Y3" s="1"/>
      <c r="Z3" s="1"/>
    </row>
    <row r="4" spans="1:28">
      <c r="A4" s="1"/>
      <c r="B4" s="79"/>
      <c r="C4" s="79"/>
      <c r="D4" s="79"/>
      <c r="E4" s="80"/>
      <c r="F4" s="80"/>
      <c r="G4" s="80"/>
      <c r="H4" s="80"/>
      <c r="I4" s="80"/>
      <c r="J4" s="80"/>
      <c r="K4" s="79"/>
      <c r="L4" s="79"/>
      <c r="M4" s="1"/>
      <c r="N4" s="79"/>
      <c r="O4" s="79"/>
      <c r="P4" s="79"/>
      <c r="Q4" s="1"/>
      <c r="R4" s="78"/>
      <c r="S4" s="78"/>
      <c r="T4" s="78"/>
      <c r="U4" s="1"/>
      <c r="V4" s="1"/>
      <c r="W4" s="1"/>
      <c r="X4" s="1"/>
      <c r="Y4" s="1"/>
      <c r="Z4" s="1"/>
    </row>
    <row r="5" spans="1:28">
      <c r="A5" s="1"/>
      <c r="B5" s="79" t="s">
        <v>46</v>
      </c>
      <c r="C5" s="79" t="s">
        <v>45</v>
      </c>
      <c r="D5" s="79"/>
      <c r="E5" s="80"/>
      <c r="F5" s="80"/>
      <c r="G5" s="80"/>
      <c r="H5" s="80"/>
      <c r="I5" s="80"/>
      <c r="J5" s="80"/>
      <c r="K5" s="79"/>
      <c r="L5" s="79"/>
      <c r="M5" s="1"/>
      <c r="N5" s="79"/>
      <c r="O5" s="79"/>
      <c r="P5" s="79"/>
      <c r="Q5" s="1"/>
      <c r="R5" s="78"/>
      <c r="S5" s="78"/>
      <c r="T5" s="78"/>
      <c r="U5" s="1"/>
      <c r="V5" s="1"/>
      <c r="W5" s="1"/>
      <c r="X5" s="1"/>
      <c r="Y5" s="1"/>
      <c r="Z5" s="1"/>
    </row>
    <row r="6" spans="1:28">
      <c r="A6" s="1" t="s">
        <v>44</v>
      </c>
      <c r="B6" s="79">
        <v>1.4999999999999999E-2</v>
      </c>
      <c r="C6" s="79">
        <f>B6*25.4</f>
        <v>0.38099999999999995</v>
      </c>
      <c r="D6" s="79"/>
      <c r="E6" s="80"/>
      <c r="F6" s="80"/>
      <c r="G6" s="80"/>
      <c r="H6" s="80"/>
      <c r="I6" s="80"/>
      <c r="J6" s="80"/>
      <c r="K6" s="79"/>
      <c r="L6" s="79"/>
      <c r="M6" s="1"/>
      <c r="N6" s="79"/>
      <c r="O6" s="79"/>
      <c r="P6" s="79"/>
      <c r="Q6" s="1"/>
      <c r="R6" s="78"/>
      <c r="S6" s="78"/>
      <c r="T6" s="78"/>
      <c r="U6" s="1"/>
      <c r="V6" s="1"/>
      <c r="W6" s="1"/>
      <c r="X6" s="1"/>
      <c r="Y6" s="1"/>
      <c r="Z6" s="1"/>
    </row>
    <row r="7" spans="1:28">
      <c r="A7" s="1"/>
      <c r="B7" s="79"/>
      <c r="C7" s="79"/>
      <c r="D7" s="79"/>
      <c r="E7" s="80"/>
      <c r="F7" s="80"/>
      <c r="G7" s="80"/>
      <c r="H7" s="80"/>
      <c r="I7" s="80"/>
      <c r="J7" s="80"/>
      <c r="K7" s="79"/>
      <c r="L7" s="79"/>
      <c r="M7" s="1"/>
      <c r="N7" s="79"/>
      <c r="O7" s="79"/>
      <c r="P7" s="79"/>
      <c r="Q7" s="1"/>
      <c r="R7" s="78"/>
      <c r="S7" s="78"/>
      <c r="T7" s="78"/>
      <c r="U7" s="1"/>
      <c r="V7" s="1"/>
      <c r="W7" s="1"/>
      <c r="X7" s="1"/>
      <c r="Y7" s="1"/>
      <c r="Z7" s="1"/>
    </row>
    <row r="8" spans="1:28">
      <c r="A8" s="77" t="s">
        <v>43</v>
      </c>
      <c r="B8" s="79"/>
      <c r="C8" s="79"/>
      <c r="D8" s="79"/>
      <c r="E8" s="80"/>
      <c r="F8" s="80"/>
      <c r="G8" s="80"/>
      <c r="H8" s="80"/>
      <c r="I8" s="80"/>
      <c r="J8" s="80"/>
      <c r="K8" s="79"/>
      <c r="L8" s="79"/>
      <c r="M8" s="1"/>
      <c r="N8" s="79"/>
      <c r="O8" s="79"/>
      <c r="P8" s="79"/>
      <c r="Q8" s="1"/>
      <c r="R8" s="78"/>
      <c r="S8" s="78"/>
      <c r="T8" s="78"/>
      <c r="U8" s="1"/>
      <c r="V8" s="1"/>
      <c r="W8" s="1"/>
      <c r="X8" s="77" t="s">
        <v>42</v>
      </c>
      <c r="Y8" s="1"/>
      <c r="Z8" s="1"/>
    </row>
    <row r="9" spans="1:28" ht="42">
      <c r="A9" s="71" t="s">
        <v>32</v>
      </c>
      <c r="B9" s="76" t="s">
        <v>41</v>
      </c>
      <c r="C9" s="386" t="s">
        <v>40</v>
      </c>
      <c r="D9" s="387"/>
      <c r="E9" s="385" t="s">
        <v>39</v>
      </c>
      <c r="F9" s="385"/>
      <c r="G9" s="385"/>
      <c r="H9" s="385"/>
      <c r="I9" s="385"/>
      <c r="J9" s="75"/>
      <c r="K9" s="386" t="s">
        <v>38</v>
      </c>
      <c r="L9" s="387"/>
      <c r="M9" s="384" t="s">
        <v>37</v>
      </c>
      <c r="N9" s="384"/>
      <c r="O9" s="384"/>
      <c r="P9" s="384"/>
      <c r="Q9" s="74" t="s">
        <v>36</v>
      </c>
      <c r="R9" s="73" t="s">
        <v>35</v>
      </c>
      <c r="S9" s="72" t="s">
        <v>34</v>
      </c>
      <c r="T9" s="71" t="s">
        <v>33</v>
      </c>
      <c r="U9" s="71"/>
      <c r="V9" s="71"/>
      <c r="W9" s="70" t="s">
        <v>32</v>
      </c>
      <c r="X9" s="69" t="s">
        <v>31</v>
      </c>
      <c r="Y9" s="68" t="s">
        <v>30</v>
      </c>
      <c r="Z9" s="19" t="s">
        <v>29</v>
      </c>
      <c r="AA9" s="67" t="s">
        <v>28</v>
      </c>
      <c r="AB9" s="66" t="s">
        <v>27</v>
      </c>
    </row>
    <row r="10" spans="1:28" s="57" customFormat="1">
      <c r="A10" s="65"/>
      <c r="B10" s="62"/>
      <c r="C10" s="64">
        <v>1</v>
      </c>
      <c r="D10" s="63">
        <v>2</v>
      </c>
      <c r="E10" s="62">
        <v>1</v>
      </c>
      <c r="F10" s="62">
        <v>2</v>
      </c>
      <c r="G10" s="62">
        <v>3</v>
      </c>
      <c r="H10" s="62">
        <v>4</v>
      </c>
      <c r="I10" s="62">
        <v>5</v>
      </c>
      <c r="J10" s="62">
        <v>6</v>
      </c>
      <c r="K10" s="64">
        <v>1</v>
      </c>
      <c r="L10" s="63">
        <v>2</v>
      </c>
      <c r="M10" s="62">
        <v>1</v>
      </c>
      <c r="N10" s="62">
        <v>2</v>
      </c>
      <c r="O10" s="62">
        <v>3</v>
      </c>
      <c r="P10" s="61">
        <v>4</v>
      </c>
      <c r="Q10" s="60"/>
      <c r="R10" s="10"/>
      <c r="S10" s="60"/>
      <c r="T10" s="10"/>
      <c r="U10" s="10"/>
      <c r="V10" s="10"/>
      <c r="W10" s="10"/>
      <c r="X10" s="59"/>
      <c r="Y10" s="59"/>
      <c r="Z10" s="59"/>
      <c r="AA10" s="58"/>
    </row>
    <row r="11" spans="1:28">
      <c r="A11" s="1"/>
      <c r="B11" s="1"/>
      <c r="C11" s="56"/>
      <c r="D11" s="54"/>
      <c r="E11" s="1"/>
      <c r="F11" s="1"/>
      <c r="G11" s="1"/>
      <c r="H11" s="1"/>
      <c r="I11" s="1"/>
      <c r="J11" s="1"/>
      <c r="K11" s="56"/>
      <c r="L11" s="54"/>
      <c r="M11" s="1"/>
      <c r="N11" s="55"/>
      <c r="O11" s="55"/>
      <c r="P11" s="55"/>
      <c r="Q11" s="54"/>
      <c r="R11" s="9"/>
      <c r="S11" s="53"/>
      <c r="T11" s="1"/>
      <c r="U11" s="1"/>
      <c r="V11" s="1"/>
      <c r="W11" s="1"/>
      <c r="X11" s="52"/>
      <c r="Y11" s="35"/>
      <c r="Z11" s="35"/>
      <c r="AA11" s="35"/>
    </row>
    <row r="12" spans="1:28">
      <c r="A12" s="12">
        <v>1</v>
      </c>
      <c r="B12" s="45"/>
      <c r="C12" s="41">
        <v>204</v>
      </c>
      <c r="D12" s="40">
        <v>204</v>
      </c>
      <c r="E12" s="47">
        <v>0.38</v>
      </c>
      <c r="F12" s="47">
        <v>0.38</v>
      </c>
      <c r="G12" s="47">
        <v>0.39</v>
      </c>
      <c r="H12" s="47">
        <v>0.38</v>
      </c>
      <c r="I12" s="47">
        <v>0.38</v>
      </c>
      <c r="J12" s="47"/>
      <c r="K12" s="46">
        <v>26.34</v>
      </c>
      <c r="L12" s="38">
        <v>26.3</v>
      </c>
      <c r="M12" s="51" t="s">
        <v>22</v>
      </c>
      <c r="N12" s="45" t="s">
        <v>20</v>
      </c>
      <c r="O12" s="45"/>
      <c r="P12" s="23"/>
      <c r="Q12" s="23"/>
      <c r="R12" s="37">
        <v>28.4</v>
      </c>
      <c r="S12" s="36">
        <f t="shared" ref="S12:S43" si="0">R12/(AVERAGE(C12:D12)*AVERAGE(E12:J12)*AVERAGE(K12:L12)*0.001)</f>
        <v>13.846465399126121</v>
      </c>
      <c r="T12" s="1">
        <v>3</v>
      </c>
      <c r="U12" s="1"/>
      <c r="V12" s="1"/>
      <c r="W12" s="1">
        <v>1</v>
      </c>
      <c r="X12" s="35">
        <f t="shared" ref="X12:X43" si="1">IF(OR(ABS(E12-$C$6)&gt;($C$6*0.1),ABS(F12-$C$6)&gt;($C$6*0.1),ABS(G12-$C$6)&gt;($C$6*0.1),ABS(H12-$C$6)&gt;($C$6*0.1),ABS(I12-$C$6)&gt;($C$6*0.1)),1,0)</f>
        <v>0</v>
      </c>
      <c r="Y12" s="35">
        <v>0</v>
      </c>
      <c r="Z12" s="34">
        <v>0</v>
      </c>
      <c r="AA12" s="33">
        <f t="shared" ref="AA12:AA43" si="2">IF(OR(M12="Y",N12="Y",O12="Y",P12="Y"),1,0)</f>
        <v>1</v>
      </c>
    </row>
    <row r="13" spans="1:28">
      <c r="A13" s="12">
        <v>2</v>
      </c>
      <c r="B13" s="45"/>
      <c r="C13" s="41">
        <v>204</v>
      </c>
      <c r="D13" s="40">
        <v>204</v>
      </c>
      <c r="E13" s="47">
        <v>0.38</v>
      </c>
      <c r="F13" s="47">
        <v>0.39</v>
      </c>
      <c r="G13" s="47">
        <v>0.38</v>
      </c>
      <c r="H13" s="47">
        <v>0.38</v>
      </c>
      <c r="I13" s="47">
        <v>0.38</v>
      </c>
      <c r="J13" s="47"/>
      <c r="K13" s="46">
        <v>26.09</v>
      </c>
      <c r="L13" s="38">
        <v>26.32</v>
      </c>
      <c r="M13" s="45" t="s">
        <v>20</v>
      </c>
      <c r="N13" s="45" t="s">
        <v>20</v>
      </c>
      <c r="O13" s="45"/>
      <c r="P13" s="23" t="s">
        <v>20</v>
      </c>
      <c r="Q13" s="23" t="s">
        <v>23</v>
      </c>
      <c r="R13" s="37">
        <v>27.4</v>
      </c>
      <c r="S13" s="36">
        <f t="shared" si="0"/>
        <v>13.417539066242314</v>
      </c>
      <c r="T13" s="1">
        <v>3</v>
      </c>
      <c r="U13" s="1"/>
      <c r="V13" s="1"/>
      <c r="W13" s="1">
        <f t="shared" ref="W13:W44" si="3">W12+1</f>
        <v>2</v>
      </c>
      <c r="X13" s="35">
        <f t="shared" si="1"/>
        <v>0</v>
      </c>
      <c r="Y13" s="35">
        <v>0</v>
      </c>
      <c r="Z13" s="34">
        <v>0</v>
      </c>
      <c r="AA13" s="33">
        <f t="shared" si="2"/>
        <v>0</v>
      </c>
    </row>
    <row r="14" spans="1:28">
      <c r="A14" s="12">
        <v>3</v>
      </c>
      <c r="B14" s="45"/>
      <c r="C14" s="41">
        <v>204</v>
      </c>
      <c r="D14" s="40">
        <v>204</v>
      </c>
      <c r="E14" s="47">
        <v>0.38</v>
      </c>
      <c r="F14" s="47">
        <v>0.38</v>
      </c>
      <c r="G14" s="47">
        <v>0.38</v>
      </c>
      <c r="H14" s="47">
        <v>0.38</v>
      </c>
      <c r="I14" s="47">
        <v>0.38</v>
      </c>
      <c r="J14" s="47"/>
      <c r="K14" s="46">
        <v>26.34</v>
      </c>
      <c r="L14" s="38">
        <v>26.22</v>
      </c>
      <c r="M14" s="45" t="s">
        <v>20</v>
      </c>
      <c r="N14" s="45" t="s">
        <v>20</v>
      </c>
      <c r="O14" s="45" t="s">
        <v>20</v>
      </c>
      <c r="P14" s="23" t="s">
        <v>20</v>
      </c>
      <c r="Q14" s="22" t="s">
        <v>21</v>
      </c>
      <c r="R14" s="37">
        <v>27.9</v>
      </c>
      <c r="S14" s="36">
        <f t="shared" si="0"/>
        <v>13.695095918684704</v>
      </c>
      <c r="T14" s="1">
        <v>3</v>
      </c>
      <c r="U14" s="1"/>
      <c r="V14" s="1"/>
      <c r="W14" s="1">
        <f t="shared" si="3"/>
        <v>3</v>
      </c>
      <c r="X14" s="35">
        <f t="shared" si="1"/>
        <v>0</v>
      </c>
      <c r="Y14" s="35">
        <v>0</v>
      </c>
      <c r="Z14" s="34">
        <v>0</v>
      </c>
      <c r="AA14" s="33">
        <f t="shared" si="2"/>
        <v>0</v>
      </c>
    </row>
    <row r="15" spans="1:28">
      <c r="A15" s="12">
        <v>4</v>
      </c>
      <c r="B15" s="45"/>
      <c r="C15" s="41">
        <v>203</v>
      </c>
      <c r="D15" s="40">
        <v>203</v>
      </c>
      <c r="E15" s="47">
        <v>0.38</v>
      </c>
      <c r="F15" s="47">
        <v>0.38</v>
      </c>
      <c r="G15" s="47">
        <v>0.38</v>
      </c>
      <c r="H15" s="47">
        <v>0.39</v>
      </c>
      <c r="I15" s="47">
        <v>0.38</v>
      </c>
      <c r="J15" s="47"/>
      <c r="K15" s="46">
        <v>26.2</v>
      </c>
      <c r="L15" s="38">
        <v>26.1</v>
      </c>
      <c r="M15" s="45"/>
      <c r="N15" s="45"/>
      <c r="O15" s="45" t="s">
        <v>20</v>
      </c>
      <c r="P15" s="23"/>
      <c r="Q15" s="22" t="s">
        <v>21</v>
      </c>
      <c r="R15" s="37">
        <v>28.2</v>
      </c>
      <c r="S15" s="36">
        <f t="shared" si="0"/>
        <v>13.906505576730648</v>
      </c>
      <c r="T15" s="1">
        <v>3</v>
      </c>
      <c r="U15" s="1"/>
      <c r="V15" s="1"/>
      <c r="W15" s="1">
        <f t="shared" si="3"/>
        <v>4</v>
      </c>
      <c r="X15" s="35">
        <f t="shared" si="1"/>
        <v>0</v>
      </c>
      <c r="Y15" s="35">
        <v>0</v>
      </c>
      <c r="Z15" s="34">
        <v>0</v>
      </c>
      <c r="AA15" s="33">
        <f t="shared" si="2"/>
        <v>0</v>
      </c>
    </row>
    <row r="16" spans="1:28">
      <c r="A16" s="12">
        <v>5</v>
      </c>
      <c r="B16" s="45"/>
      <c r="C16" s="41">
        <v>203</v>
      </c>
      <c r="D16" s="40">
        <v>203</v>
      </c>
      <c r="E16" s="47">
        <v>0.38</v>
      </c>
      <c r="F16" s="47">
        <v>0.38</v>
      </c>
      <c r="G16" s="47">
        <v>0.39</v>
      </c>
      <c r="H16" s="47">
        <v>0.39</v>
      </c>
      <c r="I16" s="47">
        <v>0.39</v>
      </c>
      <c r="J16" s="47"/>
      <c r="K16" s="46">
        <v>26.31</v>
      </c>
      <c r="L16" s="38">
        <v>26.29</v>
      </c>
      <c r="M16" s="45" t="s">
        <v>20</v>
      </c>
      <c r="N16" s="45" t="s">
        <v>20</v>
      </c>
      <c r="O16" s="45" t="s">
        <v>20</v>
      </c>
      <c r="P16" s="23"/>
      <c r="Q16" s="23"/>
      <c r="R16" s="37">
        <v>28.6</v>
      </c>
      <c r="S16" s="36">
        <f t="shared" si="0"/>
        <v>13.878001882167611</v>
      </c>
      <c r="T16" s="1">
        <v>3</v>
      </c>
      <c r="U16" s="1"/>
      <c r="V16" s="1"/>
      <c r="W16" s="1">
        <f t="shared" si="3"/>
        <v>5</v>
      </c>
      <c r="X16" s="35">
        <f t="shared" si="1"/>
        <v>0</v>
      </c>
      <c r="Y16" s="35">
        <v>0</v>
      </c>
      <c r="Z16" s="34">
        <v>0</v>
      </c>
      <c r="AA16" s="33">
        <f t="shared" si="2"/>
        <v>0</v>
      </c>
    </row>
    <row r="17" spans="1:28">
      <c r="A17" s="12">
        <v>6</v>
      </c>
      <c r="B17" s="45"/>
      <c r="C17" s="41">
        <v>203</v>
      </c>
      <c r="D17" s="40">
        <v>203</v>
      </c>
      <c r="E17" s="47">
        <v>0.37</v>
      </c>
      <c r="F17" s="47">
        <v>0.38</v>
      </c>
      <c r="G17" s="47">
        <v>0.38</v>
      </c>
      <c r="H17" s="47">
        <v>0.38</v>
      </c>
      <c r="I17" s="47">
        <v>0.38</v>
      </c>
      <c r="J17" s="47"/>
      <c r="K17" s="46">
        <v>26.27</v>
      </c>
      <c r="L17" s="38">
        <v>26.02</v>
      </c>
      <c r="M17" s="45" t="s">
        <v>20</v>
      </c>
      <c r="N17" s="45" t="s">
        <v>20</v>
      </c>
      <c r="O17" s="45" t="s">
        <v>20</v>
      </c>
      <c r="P17" s="23"/>
      <c r="Q17" s="22"/>
      <c r="R17" s="37">
        <v>27.8</v>
      </c>
      <c r="S17" s="36">
        <f t="shared" si="0"/>
        <v>13.856971125406821</v>
      </c>
      <c r="T17" s="1">
        <v>3</v>
      </c>
      <c r="U17" s="1"/>
      <c r="V17" s="1"/>
      <c r="W17" s="1">
        <f t="shared" si="3"/>
        <v>6</v>
      </c>
      <c r="X17" s="35">
        <f t="shared" si="1"/>
        <v>0</v>
      </c>
      <c r="Y17" s="35">
        <v>0</v>
      </c>
      <c r="Z17" s="34">
        <v>0</v>
      </c>
      <c r="AA17" s="33">
        <f t="shared" si="2"/>
        <v>0</v>
      </c>
    </row>
    <row r="18" spans="1:28">
      <c r="A18" s="12">
        <v>7</v>
      </c>
      <c r="B18" s="45"/>
      <c r="C18" s="41">
        <v>203</v>
      </c>
      <c r="D18" s="40">
        <v>203</v>
      </c>
      <c r="E18" s="47">
        <v>0.38</v>
      </c>
      <c r="F18" s="47">
        <v>0.38</v>
      </c>
      <c r="G18" s="47">
        <v>0.38</v>
      </c>
      <c r="H18" s="47">
        <v>0.38</v>
      </c>
      <c r="I18" s="47">
        <v>0.38</v>
      </c>
      <c r="J18" s="47"/>
      <c r="K18" s="46">
        <v>26.27</v>
      </c>
      <c r="L18" s="38">
        <v>26.33</v>
      </c>
      <c r="M18" s="45" t="s">
        <v>20</v>
      </c>
      <c r="N18" s="45" t="s">
        <v>20</v>
      </c>
      <c r="O18" s="45" t="s">
        <v>20</v>
      </c>
      <c r="P18" s="23"/>
      <c r="Q18" s="22"/>
      <c r="R18" s="37">
        <v>28</v>
      </c>
      <c r="S18" s="36">
        <f t="shared" si="0"/>
        <v>13.80138427884317</v>
      </c>
      <c r="T18" s="1">
        <v>3</v>
      </c>
      <c r="U18" s="1"/>
      <c r="V18" s="1"/>
      <c r="W18" s="1">
        <f t="shared" si="3"/>
        <v>7</v>
      </c>
      <c r="X18" s="35">
        <f t="shared" si="1"/>
        <v>0</v>
      </c>
      <c r="Y18" s="35">
        <v>0</v>
      </c>
      <c r="Z18" s="34">
        <v>0</v>
      </c>
      <c r="AA18" s="33">
        <f t="shared" si="2"/>
        <v>0</v>
      </c>
    </row>
    <row r="19" spans="1:28">
      <c r="A19" s="12">
        <v>8</v>
      </c>
      <c r="B19" s="45"/>
      <c r="C19" s="41">
        <v>204</v>
      </c>
      <c r="D19" s="40">
        <v>204</v>
      </c>
      <c r="E19" s="47">
        <v>0.37</v>
      </c>
      <c r="F19" s="47">
        <v>0.38</v>
      </c>
      <c r="G19" s="47">
        <v>0.37</v>
      </c>
      <c r="H19" s="47">
        <v>0.38</v>
      </c>
      <c r="I19" s="47">
        <v>0.37</v>
      </c>
      <c r="J19" s="47"/>
      <c r="K19" s="46">
        <v>26.11</v>
      </c>
      <c r="L19" s="38">
        <v>26.19</v>
      </c>
      <c r="M19" s="45" t="s">
        <v>20</v>
      </c>
      <c r="N19" s="45" t="s">
        <v>20</v>
      </c>
      <c r="O19" s="45"/>
      <c r="P19" s="23"/>
      <c r="Q19" s="22"/>
      <c r="R19" s="37">
        <v>27.6</v>
      </c>
      <c r="S19" s="36">
        <f t="shared" si="0"/>
        <v>13.83361291265517</v>
      </c>
      <c r="T19" s="1">
        <v>3</v>
      </c>
      <c r="U19" s="1"/>
      <c r="V19" s="1"/>
      <c r="W19" s="1">
        <f t="shared" si="3"/>
        <v>8</v>
      </c>
      <c r="X19" s="35">
        <f t="shared" si="1"/>
        <v>0</v>
      </c>
      <c r="Y19" s="35">
        <v>0</v>
      </c>
      <c r="Z19" s="34">
        <v>0</v>
      </c>
      <c r="AA19" s="33">
        <f t="shared" si="2"/>
        <v>0</v>
      </c>
    </row>
    <row r="20" spans="1:28">
      <c r="A20" s="12">
        <v>9</v>
      </c>
      <c r="B20" s="45"/>
      <c r="C20" s="41">
        <v>203</v>
      </c>
      <c r="D20" s="40">
        <v>203</v>
      </c>
      <c r="E20" s="47">
        <v>0.39</v>
      </c>
      <c r="F20" s="47">
        <v>0.39</v>
      </c>
      <c r="G20" s="47">
        <v>0.39</v>
      </c>
      <c r="H20" s="47">
        <v>0.39</v>
      </c>
      <c r="I20" s="47">
        <v>0.39</v>
      </c>
      <c r="J20" s="47"/>
      <c r="K20" s="46">
        <v>26.22</v>
      </c>
      <c r="L20" s="38">
        <v>26.32</v>
      </c>
      <c r="M20" s="45" t="s">
        <v>20</v>
      </c>
      <c r="N20" s="45"/>
      <c r="O20" s="45" t="s">
        <v>20</v>
      </c>
      <c r="P20" s="23" t="s">
        <v>20</v>
      </c>
      <c r="Q20" s="22" t="s">
        <v>19</v>
      </c>
      <c r="R20" s="37">
        <v>27.7</v>
      </c>
      <c r="S20" s="36">
        <f t="shared" si="0"/>
        <v>13.318614581363487</v>
      </c>
      <c r="T20" s="1">
        <v>3</v>
      </c>
      <c r="U20" s="1"/>
      <c r="V20" s="1"/>
      <c r="W20" s="1">
        <f t="shared" si="3"/>
        <v>9</v>
      </c>
      <c r="X20" s="35">
        <f t="shared" si="1"/>
        <v>0</v>
      </c>
      <c r="Y20" s="35">
        <v>0</v>
      </c>
      <c r="Z20" s="34">
        <v>0</v>
      </c>
      <c r="AA20" s="33">
        <f t="shared" si="2"/>
        <v>0</v>
      </c>
    </row>
    <row r="21" spans="1:28">
      <c r="A21" s="12">
        <v>10</v>
      </c>
      <c r="B21" s="45"/>
      <c r="C21" s="41">
        <v>204</v>
      </c>
      <c r="D21" s="40">
        <v>204</v>
      </c>
      <c r="E21" s="47">
        <v>0.39</v>
      </c>
      <c r="F21" s="47">
        <v>0.39</v>
      </c>
      <c r="G21" s="47">
        <v>0.38</v>
      </c>
      <c r="H21" s="47">
        <v>0.39</v>
      </c>
      <c r="I21" s="47">
        <v>0.39</v>
      </c>
      <c r="J21" s="47"/>
      <c r="K21" s="46">
        <v>26.38</v>
      </c>
      <c r="L21" s="38">
        <v>26.43</v>
      </c>
      <c r="M21" s="45" t="s">
        <v>20</v>
      </c>
      <c r="N21" s="45"/>
      <c r="O21" s="45"/>
      <c r="P21" s="23"/>
      <c r="Q21" s="23"/>
      <c r="R21" s="37">
        <v>28</v>
      </c>
      <c r="S21" s="36">
        <f t="shared" si="0"/>
        <v>13.39707431628892</v>
      </c>
      <c r="T21" s="1">
        <v>3</v>
      </c>
      <c r="U21" s="1"/>
      <c r="V21" s="1"/>
      <c r="W21" s="1">
        <f t="shared" si="3"/>
        <v>10</v>
      </c>
      <c r="X21" s="35">
        <f t="shared" si="1"/>
        <v>0</v>
      </c>
      <c r="Y21" s="35">
        <v>0</v>
      </c>
      <c r="Z21" s="34">
        <v>0</v>
      </c>
      <c r="AA21" s="33">
        <f t="shared" si="2"/>
        <v>0</v>
      </c>
    </row>
    <row r="22" spans="1:28">
      <c r="A22" s="12">
        <v>11</v>
      </c>
      <c r="B22" s="45"/>
      <c r="C22" s="41">
        <v>204</v>
      </c>
      <c r="D22" s="40">
        <v>203</v>
      </c>
      <c r="E22" s="47">
        <v>0.38</v>
      </c>
      <c r="F22" s="47">
        <v>0.38</v>
      </c>
      <c r="G22" s="47">
        <v>0.38</v>
      </c>
      <c r="H22" s="47">
        <v>0.38</v>
      </c>
      <c r="I22" s="47">
        <v>0.38</v>
      </c>
      <c r="J22" s="47"/>
      <c r="K22" s="46">
        <v>26.35</v>
      </c>
      <c r="L22" s="38">
        <v>26.06</v>
      </c>
      <c r="M22" s="45" t="s">
        <v>20</v>
      </c>
      <c r="N22" s="45"/>
      <c r="O22" s="45" t="s">
        <v>22</v>
      </c>
      <c r="P22" s="23" t="s">
        <v>20</v>
      </c>
      <c r="Q22" s="22" t="s">
        <v>19</v>
      </c>
      <c r="R22" s="37">
        <v>27.7</v>
      </c>
      <c r="S22" s="36">
        <f t="shared" si="0"/>
        <v>13.669341539675647</v>
      </c>
      <c r="T22" s="1">
        <v>3</v>
      </c>
      <c r="U22" s="1"/>
      <c r="V22" s="1"/>
      <c r="W22" s="1">
        <f t="shared" si="3"/>
        <v>11</v>
      </c>
      <c r="X22" s="35">
        <f t="shared" si="1"/>
        <v>0</v>
      </c>
      <c r="Y22" s="35">
        <v>0</v>
      </c>
      <c r="Z22" s="34">
        <v>0</v>
      </c>
      <c r="AA22" s="33">
        <f t="shared" si="2"/>
        <v>1</v>
      </c>
    </row>
    <row r="23" spans="1:28">
      <c r="A23" s="50">
        <v>12</v>
      </c>
      <c r="B23" s="45"/>
      <c r="C23" s="41">
        <v>204</v>
      </c>
      <c r="D23" s="40">
        <v>204</v>
      </c>
      <c r="E23" s="47">
        <v>0.37</v>
      </c>
      <c r="F23" s="47">
        <v>0.36</v>
      </c>
      <c r="G23" s="47">
        <v>0.37</v>
      </c>
      <c r="H23" s="47">
        <v>0.36</v>
      </c>
      <c r="I23" s="47">
        <v>0.37</v>
      </c>
      <c r="J23" s="47"/>
      <c r="K23" s="46">
        <v>26.36</v>
      </c>
      <c r="L23" s="38">
        <v>26.16</v>
      </c>
      <c r="M23" s="45" t="s">
        <v>20</v>
      </c>
      <c r="N23" s="45"/>
      <c r="O23" s="45" t="s">
        <v>20</v>
      </c>
      <c r="P23" s="23" t="s">
        <v>20</v>
      </c>
      <c r="Q23" s="23"/>
      <c r="R23" s="37">
        <v>27</v>
      </c>
      <c r="S23" s="36">
        <f t="shared" si="0"/>
        <v>13.770756201797763</v>
      </c>
      <c r="T23" s="1">
        <v>3</v>
      </c>
      <c r="U23" s="1"/>
      <c r="V23" s="1"/>
      <c r="W23" s="49">
        <f t="shared" si="3"/>
        <v>12</v>
      </c>
      <c r="X23" s="35">
        <f t="shared" si="1"/>
        <v>0</v>
      </c>
      <c r="Y23" s="35">
        <v>0</v>
      </c>
      <c r="Z23" s="34">
        <v>0</v>
      </c>
      <c r="AA23" s="33">
        <f t="shared" si="2"/>
        <v>0</v>
      </c>
    </row>
    <row r="24" spans="1:28">
      <c r="A24" s="12">
        <v>13</v>
      </c>
      <c r="B24" s="45"/>
      <c r="C24" s="41">
        <v>204</v>
      </c>
      <c r="D24" s="40">
        <v>204</v>
      </c>
      <c r="E24" s="47">
        <v>0.39</v>
      </c>
      <c r="F24" s="47">
        <v>0.39</v>
      </c>
      <c r="G24" s="47">
        <v>0.39</v>
      </c>
      <c r="H24" s="47">
        <v>0.39</v>
      </c>
      <c r="I24" s="47">
        <v>0.39</v>
      </c>
      <c r="J24" s="47"/>
      <c r="K24" s="46">
        <v>26.29</v>
      </c>
      <c r="L24" s="38">
        <v>26.23</v>
      </c>
      <c r="M24" s="45" t="s">
        <v>20</v>
      </c>
      <c r="N24" s="45" t="s">
        <v>20</v>
      </c>
      <c r="O24" s="45"/>
      <c r="P24" s="23" t="s">
        <v>20</v>
      </c>
      <c r="Q24" s="22" t="s">
        <v>19</v>
      </c>
      <c r="R24" s="37">
        <v>28.4</v>
      </c>
      <c r="S24" s="36">
        <f t="shared" si="0"/>
        <v>13.593423386891422</v>
      </c>
      <c r="T24" s="1">
        <v>3</v>
      </c>
      <c r="U24" s="1"/>
      <c r="V24" s="1"/>
      <c r="W24" s="1">
        <f t="shared" si="3"/>
        <v>13</v>
      </c>
      <c r="X24" s="35">
        <f t="shared" si="1"/>
        <v>0</v>
      </c>
      <c r="Y24" s="35">
        <v>0</v>
      </c>
      <c r="Z24" s="34">
        <v>0</v>
      </c>
      <c r="AA24" s="33">
        <f t="shared" si="2"/>
        <v>0</v>
      </c>
    </row>
    <row r="25" spans="1:28">
      <c r="A25" s="12">
        <v>14</v>
      </c>
      <c r="B25" s="45"/>
      <c r="C25" s="41">
        <v>204</v>
      </c>
      <c r="D25" s="40">
        <v>204</v>
      </c>
      <c r="E25" s="47">
        <v>0.39</v>
      </c>
      <c r="F25" s="47">
        <v>0.39</v>
      </c>
      <c r="G25" s="47">
        <v>0.39</v>
      </c>
      <c r="H25" s="47">
        <v>0.39</v>
      </c>
      <c r="I25" s="47">
        <v>0.39</v>
      </c>
      <c r="J25" s="47"/>
      <c r="K25" s="46">
        <v>26.18</v>
      </c>
      <c r="L25" s="38">
        <v>26.32</v>
      </c>
      <c r="M25" s="45" t="s">
        <v>20</v>
      </c>
      <c r="N25" s="45" t="s">
        <v>22</v>
      </c>
      <c r="O25" s="45" t="s">
        <v>20</v>
      </c>
      <c r="P25" s="23" t="s">
        <v>20</v>
      </c>
      <c r="Q25" s="22" t="s">
        <v>21</v>
      </c>
      <c r="R25" s="37">
        <v>28.3</v>
      </c>
      <c r="S25" s="36">
        <f t="shared" si="0"/>
        <v>13.550719433072372</v>
      </c>
      <c r="T25" s="1">
        <v>3</v>
      </c>
      <c r="U25" s="1"/>
      <c r="V25" s="1"/>
      <c r="W25" s="1">
        <f t="shared" si="3"/>
        <v>14</v>
      </c>
      <c r="X25" s="35">
        <f t="shared" si="1"/>
        <v>0</v>
      </c>
      <c r="Y25" s="35">
        <v>0</v>
      </c>
      <c r="Z25" s="34">
        <v>0</v>
      </c>
      <c r="AA25" s="33">
        <f t="shared" si="2"/>
        <v>1</v>
      </c>
    </row>
    <row r="26" spans="1:28">
      <c r="A26" s="12">
        <v>15</v>
      </c>
      <c r="B26" s="45"/>
      <c r="C26" s="41">
        <v>204</v>
      </c>
      <c r="D26" s="40">
        <v>204</v>
      </c>
      <c r="E26" s="47">
        <v>0.39</v>
      </c>
      <c r="F26" s="47">
        <v>0.39</v>
      </c>
      <c r="G26" s="47">
        <v>0.39</v>
      </c>
      <c r="H26" s="47">
        <v>0.39</v>
      </c>
      <c r="I26" s="47">
        <v>0.39</v>
      </c>
      <c r="J26" s="47"/>
      <c r="K26" s="46">
        <v>26.34</v>
      </c>
      <c r="L26" s="38">
        <v>25.93</v>
      </c>
      <c r="M26" s="45" t="s">
        <v>20</v>
      </c>
      <c r="N26" s="45" t="s">
        <v>20</v>
      </c>
      <c r="O26" s="45" t="s">
        <v>20</v>
      </c>
      <c r="P26" s="23" t="s">
        <v>20</v>
      </c>
      <c r="Q26" s="22" t="s">
        <v>21</v>
      </c>
      <c r="R26" s="37">
        <v>28.3</v>
      </c>
      <c r="S26" s="36">
        <f t="shared" si="0"/>
        <v>13.610345709514053</v>
      </c>
      <c r="T26" s="1">
        <v>3</v>
      </c>
      <c r="U26" s="1"/>
      <c r="V26" s="1"/>
      <c r="W26" s="1">
        <f t="shared" si="3"/>
        <v>15</v>
      </c>
      <c r="X26" s="35">
        <f t="shared" si="1"/>
        <v>0</v>
      </c>
      <c r="Y26" s="35">
        <v>0</v>
      </c>
      <c r="Z26" s="34">
        <v>0</v>
      </c>
      <c r="AA26" s="33">
        <f t="shared" si="2"/>
        <v>0</v>
      </c>
    </row>
    <row r="27" spans="1:28">
      <c r="A27" s="44">
        <v>16</v>
      </c>
      <c r="B27" s="45"/>
      <c r="C27" s="41">
        <v>204</v>
      </c>
      <c r="D27" s="40">
        <v>204</v>
      </c>
      <c r="E27" s="47">
        <v>0.4</v>
      </c>
      <c r="F27" s="47">
        <v>0.39</v>
      </c>
      <c r="G27" s="47">
        <v>0.39</v>
      </c>
      <c r="H27" s="47">
        <v>0.39</v>
      </c>
      <c r="I27" s="47">
        <v>0.4</v>
      </c>
      <c r="J27" s="47"/>
      <c r="K27" s="46">
        <v>26.25</v>
      </c>
      <c r="L27" s="38">
        <v>26.19</v>
      </c>
      <c r="M27" s="45" t="s">
        <v>20</v>
      </c>
      <c r="N27" s="45" t="s">
        <v>20</v>
      </c>
      <c r="O27" s="45"/>
      <c r="P27" s="23" t="s">
        <v>20</v>
      </c>
      <c r="Q27" s="23"/>
      <c r="R27" s="37">
        <v>28.7</v>
      </c>
      <c r="S27" s="36">
        <f t="shared" si="0"/>
        <v>13.618297586393528</v>
      </c>
      <c r="T27" s="1">
        <v>3</v>
      </c>
      <c r="U27" s="1"/>
      <c r="V27" s="1"/>
      <c r="W27" s="48">
        <f t="shared" si="3"/>
        <v>16</v>
      </c>
      <c r="X27" s="35">
        <f t="shared" si="1"/>
        <v>0</v>
      </c>
      <c r="Y27" s="35">
        <v>0</v>
      </c>
      <c r="Z27" s="34">
        <v>0</v>
      </c>
      <c r="AA27" s="33">
        <f t="shared" si="2"/>
        <v>0</v>
      </c>
      <c r="AB27" t="s">
        <v>26</v>
      </c>
    </row>
    <row r="28" spans="1:28">
      <c r="A28" s="12">
        <v>17</v>
      </c>
      <c r="B28" s="45"/>
      <c r="C28" s="41">
        <v>204</v>
      </c>
      <c r="D28" s="40">
        <v>204</v>
      </c>
      <c r="E28" s="47">
        <v>0.39</v>
      </c>
      <c r="F28" s="47">
        <v>0.39</v>
      </c>
      <c r="G28" s="47">
        <v>0.39</v>
      </c>
      <c r="H28" s="47">
        <v>0.39</v>
      </c>
      <c r="I28" s="47">
        <v>0.39</v>
      </c>
      <c r="J28" s="47"/>
      <c r="K28" s="46">
        <v>26.28</v>
      </c>
      <c r="L28" s="38">
        <v>26.23</v>
      </c>
      <c r="M28" s="45" t="s">
        <v>20</v>
      </c>
      <c r="N28" s="45" t="s">
        <v>20</v>
      </c>
      <c r="O28" s="45" t="s">
        <v>20</v>
      </c>
      <c r="P28" s="23" t="s">
        <v>20</v>
      </c>
      <c r="Q28" s="23" t="s">
        <v>23</v>
      </c>
      <c r="R28" s="37">
        <v>28.5</v>
      </c>
      <c r="S28" s="36">
        <f t="shared" si="0"/>
        <v>13.643885399405354</v>
      </c>
      <c r="T28" s="1">
        <v>3</v>
      </c>
      <c r="U28" s="1"/>
      <c r="V28" s="1"/>
      <c r="W28" s="1">
        <f t="shared" si="3"/>
        <v>17</v>
      </c>
      <c r="X28" s="35">
        <f t="shared" si="1"/>
        <v>0</v>
      </c>
      <c r="Y28" s="35">
        <v>0</v>
      </c>
      <c r="Z28" s="34">
        <v>0</v>
      </c>
      <c r="AA28" s="33">
        <f t="shared" si="2"/>
        <v>0</v>
      </c>
    </row>
    <row r="29" spans="1:28">
      <c r="A29" s="12">
        <v>18</v>
      </c>
      <c r="B29" s="45"/>
      <c r="C29" s="41">
        <v>204</v>
      </c>
      <c r="D29" s="40">
        <v>204</v>
      </c>
      <c r="E29" s="47">
        <v>0.38</v>
      </c>
      <c r="F29" s="47">
        <v>0.38</v>
      </c>
      <c r="G29" s="47">
        <v>0.38</v>
      </c>
      <c r="H29" s="47">
        <v>0.38</v>
      </c>
      <c r="I29" s="47">
        <v>0.38</v>
      </c>
      <c r="J29" s="47"/>
      <c r="K29" s="46">
        <v>26.46</v>
      </c>
      <c r="L29" s="38">
        <v>26.3</v>
      </c>
      <c r="M29" s="45"/>
      <c r="N29" s="45" t="s">
        <v>20</v>
      </c>
      <c r="O29" s="45"/>
      <c r="P29" s="23" t="s">
        <v>20</v>
      </c>
      <c r="Q29" s="23"/>
      <c r="R29" s="37">
        <v>27.8</v>
      </c>
      <c r="S29" s="36">
        <f t="shared" si="0"/>
        <v>13.594280934910973</v>
      </c>
      <c r="T29" s="1">
        <v>3</v>
      </c>
      <c r="U29" s="1"/>
      <c r="V29" s="1"/>
      <c r="W29" s="1">
        <f t="shared" si="3"/>
        <v>18</v>
      </c>
      <c r="X29" s="35">
        <f t="shared" si="1"/>
        <v>0</v>
      </c>
      <c r="Y29" s="35">
        <v>0</v>
      </c>
      <c r="Z29" s="34">
        <v>0</v>
      </c>
      <c r="AA29" s="33">
        <f t="shared" si="2"/>
        <v>0</v>
      </c>
    </row>
    <row r="30" spans="1:28">
      <c r="A30" s="12">
        <v>19</v>
      </c>
      <c r="B30" s="45"/>
      <c r="C30" s="41">
        <v>204</v>
      </c>
      <c r="D30" s="40">
        <v>204</v>
      </c>
      <c r="E30" s="47">
        <v>0.37</v>
      </c>
      <c r="F30" s="47">
        <v>0.37</v>
      </c>
      <c r="G30" s="47">
        <v>0.37</v>
      </c>
      <c r="H30" s="47">
        <v>0.37</v>
      </c>
      <c r="I30" s="47">
        <v>0.38</v>
      </c>
      <c r="J30" s="47"/>
      <c r="K30" s="46">
        <v>26.04</v>
      </c>
      <c r="L30" s="38">
        <v>26.31</v>
      </c>
      <c r="M30" s="45" t="s">
        <v>22</v>
      </c>
      <c r="N30" s="45"/>
      <c r="O30" s="45" t="s">
        <v>20</v>
      </c>
      <c r="P30" s="23"/>
      <c r="Q30" s="23"/>
      <c r="R30" s="37">
        <v>27.6</v>
      </c>
      <c r="S30" s="36">
        <f t="shared" si="0"/>
        <v>13.894703520253344</v>
      </c>
      <c r="T30" s="1">
        <v>3</v>
      </c>
      <c r="U30" s="1"/>
      <c r="V30" s="1"/>
      <c r="W30" s="1">
        <f t="shared" si="3"/>
        <v>19</v>
      </c>
      <c r="X30" s="35">
        <f t="shared" si="1"/>
        <v>0</v>
      </c>
      <c r="Y30" s="35">
        <v>0</v>
      </c>
      <c r="Z30" s="34">
        <v>0</v>
      </c>
      <c r="AA30" s="33">
        <f t="shared" si="2"/>
        <v>1</v>
      </c>
    </row>
    <row r="31" spans="1:28">
      <c r="A31" s="12">
        <v>20</v>
      </c>
      <c r="B31" s="25"/>
      <c r="C31" s="41">
        <v>204</v>
      </c>
      <c r="D31" s="40">
        <v>204</v>
      </c>
      <c r="E31" s="42">
        <v>0.39</v>
      </c>
      <c r="F31" s="28">
        <v>0.39</v>
      </c>
      <c r="G31" s="28">
        <v>0.39</v>
      </c>
      <c r="H31" s="28">
        <v>0.39</v>
      </c>
      <c r="I31" s="28">
        <v>0.39</v>
      </c>
      <c r="J31" s="28"/>
      <c r="K31" s="39">
        <v>26.13</v>
      </c>
      <c r="L31" s="38">
        <v>26.21</v>
      </c>
      <c r="M31" s="25"/>
      <c r="N31" s="25"/>
      <c r="O31" s="24"/>
      <c r="P31" s="23" t="s">
        <v>20</v>
      </c>
      <c r="Q31" s="23"/>
      <c r="R31" s="37">
        <v>28.4</v>
      </c>
      <c r="S31" s="36">
        <f t="shared" si="0"/>
        <v>13.640171881534915</v>
      </c>
      <c r="T31" s="1">
        <v>3</v>
      </c>
      <c r="U31" s="1"/>
      <c r="V31" s="1"/>
      <c r="W31" s="1">
        <f t="shared" si="3"/>
        <v>20</v>
      </c>
      <c r="X31" s="35">
        <f t="shared" si="1"/>
        <v>0</v>
      </c>
      <c r="Y31" s="35">
        <v>0</v>
      </c>
      <c r="Z31" s="34">
        <v>0</v>
      </c>
      <c r="AA31" s="33">
        <f t="shared" si="2"/>
        <v>0</v>
      </c>
    </row>
    <row r="32" spans="1:28">
      <c r="A32" s="12">
        <v>21</v>
      </c>
      <c r="B32" s="25"/>
      <c r="C32" s="41">
        <v>204</v>
      </c>
      <c r="D32" s="40">
        <v>204</v>
      </c>
      <c r="E32" s="42">
        <v>0.37</v>
      </c>
      <c r="F32" s="28">
        <v>0.37</v>
      </c>
      <c r="G32" s="28">
        <v>0.37</v>
      </c>
      <c r="H32" s="28">
        <v>0.37</v>
      </c>
      <c r="I32" s="28">
        <v>0.37</v>
      </c>
      <c r="J32" s="28"/>
      <c r="K32" s="39">
        <v>26.28</v>
      </c>
      <c r="L32" s="38">
        <v>26.04</v>
      </c>
      <c r="M32" s="25" t="s">
        <v>20</v>
      </c>
      <c r="N32" s="25"/>
      <c r="O32" s="24" t="s">
        <v>22</v>
      </c>
      <c r="P32" s="23" t="s">
        <v>20</v>
      </c>
      <c r="Q32" s="22" t="s">
        <v>19</v>
      </c>
      <c r="R32" s="37">
        <v>27.5</v>
      </c>
      <c r="S32" s="36">
        <f t="shared" si="0"/>
        <v>13.927175961714548</v>
      </c>
      <c r="T32" s="1">
        <v>3</v>
      </c>
      <c r="U32" s="1"/>
      <c r="V32" s="1"/>
      <c r="W32" s="1">
        <f t="shared" si="3"/>
        <v>21</v>
      </c>
      <c r="X32" s="35">
        <f t="shared" si="1"/>
        <v>0</v>
      </c>
      <c r="Y32" s="35">
        <v>0</v>
      </c>
      <c r="Z32" s="34">
        <v>0</v>
      </c>
      <c r="AA32" s="33">
        <f t="shared" si="2"/>
        <v>1</v>
      </c>
    </row>
    <row r="33" spans="1:27">
      <c r="A33" s="12">
        <v>22</v>
      </c>
      <c r="B33" s="25"/>
      <c r="C33" s="41">
        <v>204</v>
      </c>
      <c r="D33" s="40">
        <v>204</v>
      </c>
      <c r="E33" s="42">
        <v>0.37</v>
      </c>
      <c r="F33" s="28">
        <v>0.38</v>
      </c>
      <c r="G33" s="28">
        <v>0.38</v>
      </c>
      <c r="H33" s="28">
        <v>0.38</v>
      </c>
      <c r="I33" s="28">
        <v>0.37</v>
      </c>
      <c r="J33" s="28"/>
      <c r="K33" s="39">
        <v>26.03</v>
      </c>
      <c r="L33" s="38">
        <v>26.34</v>
      </c>
      <c r="M33" s="25" t="s">
        <v>20</v>
      </c>
      <c r="N33" s="25" t="s">
        <v>20</v>
      </c>
      <c r="O33" s="24" t="s">
        <v>20</v>
      </c>
      <c r="P33" s="23" t="s">
        <v>20</v>
      </c>
      <c r="Q33" s="23" t="s">
        <v>23</v>
      </c>
      <c r="R33" s="37">
        <v>27.6</v>
      </c>
      <c r="S33" s="36">
        <f t="shared" si="0"/>
        <v>13.741637616048129</v>
      </c>
      <c r="T33" s="1">
        <v>3</v>
      </c>
      <c r="U33" s="1"/>
      <c r="V33" s="1"/>
      <c r="W33" s="1">
        <f t="shared" si="3"/>
        <v>22</v>
      </c>
      <c r="X33" s="35">
        <f t="shared" si="1"/>
        <v>0</v>
      </c>
      <c r="Y33" s="35">
        <v>0</v>
      </c>
      <c r="Z33" s="34">
        <v>0</v>
      </c>
      <c r="AA33" s="33">
        <f t="shared" si="2"/>
        <v>0</v>
      </c>
    </row>
    <row r="34" spans="1:27">
      <c r="A34" s="12">
        <v>23</v>
      </c>
      <c r="B34" s="25"/>
      <c r="C34" s="41">
        <v>204</v>
      </c>
      <c r="D34" s="40">
        <v>204</v>
      </c>
      <c r="E34" s="42">
        <v>0.38</v>
      </c>
      <c r="F34" s="28">
        <v>0.38</v>
      </c>
      <c r="G34" s="28">
        <v>0.38</v>
      </c>
      <c r="H34" s="28">
        <v>0.38</v>
      </c>
      <c r="I34" s="28">
        <v>0.38</v>
      </c>
      <c r="J34" s="28"/>
      <c r="K34" s="39">
        <v>26.35</v>
      </c>
      <c r="L34" s="38">
        <v>26.3</v>
      </c>
      <c r="M34" s="25" t="s">
        <v>20</v>
      </c>
      <c r="N34" s="25"/>
      <c r="O34" s="24" t="s">
        <v>20</v>
      </c>
      <c r="P34" s="23"/>
      <c r="Q34" s="22" t="s">
        <v>21</v>
      </c>
      <c r="R34" s="37">
        <v>27.8</v>
      </c>
      <c r="S34" s="36">
        <f t="shared" si="0"/>
        <v>13.62268304132769</v>
      </c>
      <c r="T34" s="1">
        <v>3</v>
      </c>
      <c r="U34" s="1"/>
      <c r="V34" s="1"/>
      <c r="W34" s="1">
        <f t="shared" si="3"/>
        <v>23</v>
      </c>
      <c r="X34" s="35">
        <f t="shared" si="1"/>
        <v>0</v>
      </c>
      <c r="Y34" s="35">
        <v>0</v>
      </c>
      <c r="Z34" s="34">
        <v>0</v>
      </c>
      <c r="AA34" s="33">
        <f t="shared" si="2"/>
        <v>0</v>
      </c>
    </row>
    <row r="35" spans="1:27">
      <c r="A35" s="12">
        <v>24</v>
      </c>
      <c r="B35" s="25"/>
      <c r="C35" s="41">
        <v>204</v>
      </c>
      <c r="D35" s="40">
        <v>204</v>
      </c>
      <c r="E35" s="42">
        <v>0.39</v>
      </c>
      <c r="F35" s="28">
        <v>0.39</v>
      </c>
      <c r="G35" s="28">
        <v>0.39</v>
      </c>
      <c r="H35" s="28">
        <v>0.39</v>
      </c>
      <c r="I35" s="28">
        <v>0.39</v>
      </c>
      <c r="J35" s="28"/>
      <c r="K35" s="39">
        <v>26.27</v>
      </c>
      <c r="L35" s="38">
        <v>26.16</v>
      </c>
      <c r="M35" s="25" t="s">
        <v>20</v>
      </c>
      <c r="N35" s="25"/>
      <c r="O35" s="24"/>
      <c r="P35" s="23"/>
      <c r="Q35" s="22" t="s">
        <v>19</v>
      </c>
      <c r="R35" s="37">
        <v>28.1</v>
      </c>
      <c r="S35" s="36">
        <f t="shared" si="0"/>
        <v>13.472918522788939</v>
      </c>
      <c r="T35" s="1">
        <v>3</v>
      </c>
      <c r="U35" s="1"/>
      <c r="V35" s="1"/>
      <c r="W35" s="1">
        <f t="shared" si="3"/>
        <v>24</v>
      </c>
      <c r="X35" s="35">
        <f t="shared" si="1"/>
        <v>0</v>
      </c>
      <c r="Y35" s="35">
        <v>0</v>
      </c>
      <c r="Z35" s="34">
        <v>0</v>
      </c>
      <c r="AA35" s="33">
        <f t="shared" si="2"/>
        <v>0</v>
      </c>
    </row>
    <row r="36" spans="1:27">
      <c r="A36" s="12">
        <v>25</v>
      </c>
      <c r="B36" s="25"/>
      <c r="C36" s="41">
        <v>204</v>
      </c>
      <c r="D36" s="40">
        <v>204</v>
      </c>
      <c r="E36" s="42">
        <v>0.38</v>
      </c>
      <c r="F36" s="28">
        <v>0.38</v>
      </c>
      <c r="G36" s="28">
        <v>0.39</v>
      </c>
      <c r="H36" s="28">
        <v>0.39</v>
      </c>
      <c r="I36" s="28">
        <v>0.39</v>
      </c>
      <c r="J36" s="28"/>
      <c r="K36" s="39">
        <v>26.37</v>
      </c>
      <c r="L36" s="38">
        <v>26.27</v>
      </c>
      <c r="M36" s="25" t="s">
        <v>20</v>
      </c>
      <c r="N36" s="25" t="s">
        <v>20</v>
      </c>
      <c r="O36" s="24" t="s">
        <v>20</v>
      </c>
      <c r="P36" s="23" t="s">
        <v>20</v>
      </c>
      <c r="Q36" s="22" t="s">
        <v>19</v>
      </c>
      <c r="R36" s="37">
        <v>28.2</v>
      </c>
      <c r="S36" s="36">
        <f t="shared" si="0"/>
        <v>13.606478860974439</v>
      </c>
      <c r="T36" s="1">
        <v>3</v>
      </c>
      <c r="U36" s="1"/>
      <c r="V36" s="1"/>
      <c r="W36" s="1">
        <f t="shared" si="3"/>
        <v>25</v>
      </c>
      <c r="X36" s="35">
        <f t="shared" si="1"/>
        <v>0</v>
      </c>
      <c r="Y36" s="35">
        <v>0</v>
      </c>
      <c r="Z36" s="34">
        <v>0</v>
      </c>
      <c r="AA36" s="33">
        <f t="shared" si="2"/>
        <v>0</v>
      </c>
    </row>
    <row r="37" spans="1:27" ht="28">
      <c r="A37" s="12">
        <v>26</v>
      </c>
      <c r="B37" s="25"/>
      <c r="C37" s="41">
        <v>204</v>
      </c>
      <c r="D37" s="40">
        <v>204</v>
      </c>
      <c r="E37" s="42">
        <v>0.39</v>
      </c>
      <c r="F37" s="28">
        <v>0.39</v>
      </c>
      <c r="G37" s="28">
        <v>0.39</v>
      </c>
      <c r="H37" s="28">
        <v>0.39</v>
      </c>
      <c r="I37" s="28">
        <v>0.39</v>
      </c>
      <c r="J37" s="28"/>
      <c r="K37" s="39">
        <v>26.35</v>
      </c>
      <c r="L37" s="38">
        <v>26.26</v>
      </c>
      <c r="M37" s="25" t="s">
        <v>20</v>
      </c>
      <c r="N37" s="25" t="s">
        <v>20</v>
      </c>
      <c r="O37" s="24" t="s">
        <v>20</v>
      </c>
      <c r="P37" s="23" t="s">
        <v>20</v>
      </c>
      <c r="Q37" s="23" t="s">
        <v>25</v>
      </c>
      <c r="R37" s="37">
        <v>28.5</v>
      </c>
      <c r="S37" s="36">
        <f t="shared" si="0"/>
        <v>13.617951384200252</v>
      </c>
      <c r="T37" s="1">
        <v>3</v>
      </c>
      <c r="U37" s="1"/>
      <c r="V37" s="1"/>
      <c r="W37" s="1">
        <f t="shared" si="3"/>
        <v>26</v>
      </c>
      <c r="X37" s="35">
        <f t="shared" si="1"/>
        <v>0</v>
      </c>
      <c r="Y37" s="35">
        <v>0</v>
      </c>
      <c r="Z37" s="34">
        <v>0</v>
      </c>
      <c r="AA37" s="33">
        <f t="shared" si="2"/>
        <v>0</v>
      </c>
    </row>
    <row r="38" spans="1:27">
      <c r="A38" s="12">
        <v>27</v>
      </c>
      <c r="B38" s="25"/>
      <c r="C38" s="41">
        <v>203</v>
      </c>
      <c r="D38" s="40">
        <v>203</v>
      </c>
      <c r="E38" s="42">
        <v>0.38</v>
      </c>
      <c r="F38" s="28">
        <v>0.38</v>
      </c>
      <c r="G38" s="28">
        <v>0.38</v>
      </c>
      <c r="H38" s="28">
        <v>0.38</v>
      </c>
      <c r="I38" s="28">
        <v>0.38</v>
      </c>
      <c r="J38" s="28"/>
      <c r="K38" s="39">
        <v>26.33</v>
      </c>
      <c r="L38" s="38">
        <v>26.06</v>
      </c>
      <c r="M38" s="25" t="s">
        <v>20</v>
      </c>
      <c r="N38" s="25" t="s">
        <v>20</v>
      </c>
      <c r="O38" s="24" t="s">
        <v>20</v>
      </c>
      <c r="P38" s="23" t="s">
        <v>20</v>
      </c>
      <c r="Q38" s="23"/>
      <c r="R38" s="37">
        <v>27.2</v>
      </c>
      <c r="S38" s="36">
        <f t="shared" si="0"/>
        <v>13.460799849634949</v>
      </c>
      <c r="T38" s="1">
        <v>3</v>
      </c>
      <c r="U38" s="1"/>
      <c r="V38" s="1"/>
      <c r="W38" s="1">
        <f t="shared" si="3"/>
        <v>27</v>
      </c>
      <c r="X38" s="35">
        <f t="shared" si="1"/>
        <v>0</v>
      </c>
      <c r="Y38" s="35">
        <v>0</v>
      </c>
      <c r="Z38" s="34">
        <v>0</v>
      </c>
      <c r="AA38" s="33">
        <f t="shared" si="2"/>
        <v>0</v>
      </c>
    </row>
    <row r="39" spans="1:27">
      <c r="A39" s="12">
        <v>28</v>
      </c>
      <c r="B39" s="25"/>
      <c r="C39" s="41">
        <v>204</v>
      </c>
      <c r="D39" s="40">
        <v>204</v>
      </c>
      <c r="E39" s="42">
        <v>0.38</v>
      </c>
      <c r="F39" s="28">
        <v>0.38</v>
      </c>
      <c r="G39" s="28">
        <v>0.39</v>
      </c>
      <c r="H39" s="28">
        <v>0.39</v>
      </c>
      <c r="I39" s="28">
        <v>0.39</v>
      </c>
      <c r="J39" s="28"/>
      <c r="K39" s="39">
        <v>26.24</v>
      </c>
      <c r="L39" s="38">
        <v>26.26</v>
      </c>
      <c r="M39" s="25" t="s">
        <v>20</v>
      </c>
      <c r="N39" s="25" t="s">
        <v>20</v>
      </c>
      <c r="O39" s="24" t="s">
        <v>20</v>
      </c>
      <c r="P39" s="23" t="s">
        <v>20</v>
      </c>
      <c r="Q39" s="22" t="s">
        <v>21</v>
      </c>
      <c r="R39" s="37">
        <v>28</v>
      </c>
      <c r="S39" s="36">
        <f t="shared" si="0"/>
        <v>13.546005621592331</v>
      </c>
      <c r="T39" s="1">
        <v>3</v>
      </c>
      <c r="U39" s="1"/>
      <c r="V39" s="1"/>
      <c r="W39" s="1">
        <f t="shared" si="3"/>
        <v>28</v>
      </c>
      <c r="X39" s="35">
        <f t="shared" si="1"/>
        <v>0</v>
      </c>
      <c r="Y39" s="35">
        <v>0</v>
      </c>
      <c r="Z39" s="34">
        <v>0</v>
      </c>
      <c r="AA39" s="33">
        <f t="shared" si="2"/>
        <v>0</v>
      </c>
    </row>
    <row r="40" spans="1:27">
      <c r="A40" s="12">
        <v>29</v>
      </c>
      <c r="B40" s="25"/>
      <c r="C40" s="41">
        <v>204</v>
      </c>
      <c r="D40" s="40">
        <v>204</v>
      </c>
      <c r="E40" s="42">
        <v>0.38</v>
      </c>
      <c r="F40" s="28">
        <v>0.38</v>
      </c>
      <c r="G40" s="28">
        <v>0.39</v>
      </c>
      <c r="H40" s="28">
        <v>0.38</v>
      </c>
      <c r="I40" s="28">
        <v>0.38</v>
      </c>
      <c r="J40" s="28"/>
      <c r="K40" s="39">
        <v>26.34</v>
      </c>
      <c r="L40" s="38">
        <v>26.1</v>
      </c>
      <c r="M40" s="25"/>
      <c r="N40" s="25" t="s">
        <v>20</v>
      </c>
      <c r="O40" s="24" t="s">
        <v>20</v>
      </c>
      <c r="P40" s="23" t="s">
        <v>20</v>
      </c>
      <c r="Q40" s="22" t="s">
        <v>21</v>
      </c>
      <c r="R40" s="37">
        <v>27.8</v>
      </c>
      <c r="S40" s="36">
        <f t="shared" si="0"/>
        <v>13.605627553795872</v>
      </c>
      <c r="T40" s="1">
        <v>3</v>
      </c>
      <c r="U40" s="1"/>
      <c r="V40" s="1"/>
      <c r="W40" s="1">
        <f t="shared" si="3"/>
        <v>29</v>
      </c>
      <c r="X40" s="35">
        <f t="shared" si="1"/>
        <v>0</v>
      </c>
      <c r="Y40" s="35">
        <v>0</v>
      </c>
      <c r="Z40" s="34">
        <v>0</v>
      </c>
      <c r="AA40" s="33">
        <f t="shared" si="2"/>
        <v>0</v>
      </c>
    </row>
    <row r="41" spans="1:27">
      <c r="A41" s="12">
        <v>30</v>
      </c>
      <c r="B41" s="25"/>
      <c r="C41" s="41">
        <v>204</v>
      </c>
      <c r="D41" s="40">
        <v>204</v>
      </c>
      <c r="E41" s="42">
        <v>0.38</v>
      </c>
      <c r="F41" s="28">
        <v>0.38</v>
      </c>
      <c r="G41" s="28">
        <v>0.38</v>
      </c>
      <c r="H41" s="28">
        <v>0.38</v>
      </c>
      <c r="I41" s="28">
        <v>0.38</v>
      </c>
      <c r="J41" s="28"/>
      <c r="K41" s="39">
        <v>25.96</v>
      </c>
      <c r="L41" s="38">
        <v>26.32</v>
      </c>
      <c r="M41" s="25" t="s">
        <v>20</v>
      </c>
      <c r="N41" s="25" t="s">
        <v>22</v>
      </c>
      <c r="O41" s="24" t="s">
        <v>20</v>
      </c>
      <c r="P41" s="23"/>
      <c r="Q41" s="22" t="s">
        <v>21</v>
      </c>
      <c r="R41" s="37">
        <v>27.5</v>
      </c>
      <c r="S41" s="36">
        <f t="shared" si="0"/>
        <v>13.571046749147047</v>
      </c>
      <c r="T41" s="1">
        <v>3</v>
      </c>
      <c r="U41" s="1"/>
      <c r="V41" s="1"/>
      <c r="W41" s="1">
        <f t="shared" si="3"/>
        <v>30</v>
      </c>
      <c r="X41" s="35">
        <f t="shared" si="1"/>
        <v>0</v>
      </c>
      <c r="Y41" s="35">
        <v>0</v>
      </c>
      <c r="Z41" s="34">
        <v>0</v>
      </c>
      <c r="AA41" s="33">
        <f t="shared" si="2"/>
        <v>1</v>
      </c>
    </row>
    <row r="42" spans="1:27">
      <c r="A42" s="12">
        <v>31</v>
      </c>
      <c r="B42" s="25"/>
      <c r="C42" s="41">
        <v>204</v>
      </c>
      <c r="D42" s="40">
        <v>204</v>
      </c>
      <c r="E42" s="42">
        <v>0.38</v>
      </c>
      <c r="F42" s="28">
        <v>0.38</v>
      </c>
      <c r="G42" s="28">
        <v>0.38</v>
      </c>
      <c r="H42" s="28">
        <v>0.38</v>
      </c>
      <c r="I42" s="28">
        <v>0.38</v>
      </c>
      <c r="J42" s="28"/>
      <c r="K42" s="39">
        <v>26.28</v>
      </c>
      <c r="L42" s="38">
        <v>26.31</v>
      </c>
      <c r="M42" s="25"/>
      <c r="N42" s="25"/>
      <c r="O42" s="24" t="s">
        <v>20</v>
      </c>
      <c r="P42" s="23"/>
      <c r="Q42" s="22" t="s">
        <v>19</v>
      </c>
      <c r="R42" s="37">
        <v>27.8</v>
      </c>
      <c r="S42" s="36">
        <f t="shared" si="0"/>
        <v>13.638225178282999</v>
      </c>
      <c r="T42" s="1">
        <v>3</v>
      </c>
      <c r="U42" s="1"/>
      <c r="V42" s="1"/>
      <c r="W42" s="1">
        <f t="shared" si="3"/>
        <v>31</v>
      </c>
      <c r="X42" s="35">
        <f t="shared" si="1"/>
        <v>0</v>
      </c>
      <c r="Y42" s="35">
        <v>0</v>
      </c>
      <c r="Z42" s="34">
        <v>0</v>
      </c>
      <c r="AA42" s="33">
        <f t="shared" si="2"/>
        <v>0</v>
      </c>
    </row>
    <row r="43" spans="1:27">
      <c r="A43" s="12">
        <v>32</v>
      </c>
      <c r="B43" s="25"/>
      <c r="C43" s="41">
        <v>204</v>
      </c>
      <c r="D43" s="40">
        <v>204</v>
      </c>
      <c r="E43" s="42">
        <v>0.38</v>
      </c>
      <c r="F43" s="28">
        <v>0.38</v>
      </c>
      <c r="G43" s="28">
        <v>0.37</v>
      </c>
      <c r="H43" s="28">
        <v>0.38</v>
      </c>
      <c r="I43" s="28">
        <v>0.38</v>
      </c>
      <c r="J43" s="28"/>
      <c r="K43" s="39">
        <v>26.32</v>
      </c>
      <c r="L43" s="38">
        <v>26.24</v>
      </c>
      <c r="M43" s="25" t="s">
        <v>20</v>
      </c>
      <c r="N43" s="25"/>
      <c r="O43" s="24" t="s">
        <v>20</v>
      </c>
      <c r="P43" s="23" t="s">
        <v>20</v>
      </c>
      <c r="Q43" s="22" t="s">
        <v>21</v>
      </c>
      <c r="R43" s="37">
        <v>28</v>
      </c>
      <c r="S43" s="36">
        <f t="shared" si="0"/>
        <v>13.816902825169755</v>
      </c>
      <c r="T43" s="1">
        <v>3</v>
      </c>
      <c r="U43" s="1"/>
      <c r="V43" s="1"/>
      <c r="W43" s="1">
        <f t="shared" si="3"/>
        <v>32</v>
      </c>
      <c r="X43" s="35">
        <f t="shared" si="1"/>
        <v>0</v>
      </c>
      <c r="Y43" s="35">
        <v>0</v>
      </c>
      <c r="Z43" s="34">
        <v>0</v>
      </c>
      <c r="AA43" s="33">
        <f t="shared" si="2"/>
        <v>0</v>
      </c>
    </row>
    <row r="44" spans="1:27">
      <c r="A44" s="12">
        <v>33</v>
      </c>
      <c r="B44" s="25"/>
      <c r="C44" s="41">
        <v>204</v>
      </c>
      <c r="D44" s="40">
        <v>204</v>
      </c>
      <c r="E44" s="42">
        <v>0.38</v>
      </c>
      <c r="F44" s="28">
        <v>0.38</v>
      </c>
      <c r="G44" s="28">
        <v>0.38</v>
      </c>
      <c r="H44" s="28">
        <v>0.38</v>
      </c>
      <c r="I44" s="28">
        <v>0.39</v>
      </c>
      <c r="J44" s="28"/>
      <c r="K44" s="39">
        <v>26.01</v>
      </c>
      <c r="L44" s="38">
        <v>26.21</v>
      </c>
      <c r="M44" s="25"/>
      <c r="N44" s="25"/>
      <c r="O44" s="24"/>
      <c r="P44" s="23" t="s">
        <v>22</v>
      </c>
      <c r="Q44" s="23"/>
      <c r="R44" s="37">
        <v>27.8</v>
      </c>
      <c r="S44" s="36">
        <f t="shared" ref="S44:S65" si="4">R44/(AVERAGE(C44:D44)*AVERAGE(E44:J44)*AVERAGE(K44:L44)*0.001)</f>
        <v>13.662947317523082</v>
      </c>
      <c r="T44" s="1">
        <v>3</v>
      </c>
      <c r="U44" s="1"/>
      <c r="V44" s="1"/>
      <c r="W44" s="1">
        <f t="shared" si="3"/>
        <v>33</v>
      </c>
      <c r="X44" s="35">
        <f t="shared" ref="X44:X65" si="5">IF(OR(ABS(E44-$C$6)&gt;($C$6*0.1),ABS(F44-$C$6)&gt;($C$6*0.1),ABS(G44-$C$6)&gt;($C$6*0.1),ABS(H44-$C$6)&gt;($C$6*0.1),ABS(I44-$C$6)&gt;($C$6*0.1)),1,0)</f>
        <v>0</v>
      </c>
      <c r="Y44" s="35">
        <v>0</v>
      </c>
      <c r="Z44" s="34">
        <v>0</v>
      </c>
      <c r="AA44" s="33">
        <f t="shared" ref="AA44:AA65" si="6">IF(OR(M44="Y",N44="Y",O44="Y",P44="Y"),1,0)</f>
        <v>1</v>
      </c>
    </row>
    <row r="45" spans="1:27">
      <c r="A45" s="12">
        <v>34</v>
      </c>
      <c r="B45" s="25"/>
      <c r="C45" s="41">
        <v>204</v>
      </c>
      <c r="D45" s="40">
        <v>204</v>
      </c>
      <c r="E45" s="42">
        <v>0.39</v>
      </c>
      <c r="F45" s="28">
        <v>0.39</v>
      </c>
      <c r="G45" s="28">
        <v>0.39</v>
      </c>
      <c r="H45" s="28">
        <v>0.39</v>
      </c>
      <c r="I45" s="28">
        <v>0.39</v>
      </c>
      <c r="J45" s="28"/>
      <c r="K45" s="39">
        <v>26.35</v>
      </c>
      <c r="L45" s="38">
        <v>26.24</v>
      </c>
      <c r="M45" s="25"/>
      <c r="N45" s="25" t="s">
        <v>20</v>
      </c>
      <c r="O45" s="24"/>
      <c r="P45" s="23" t="s">
        <v>20</v>
      </c>
      <c r="Q45" s="22" t="s">
        <v>19</v>
      </c>
      <c r="R45" s="37">
        <v>28.4</v>
      </c>
      <c r="S45" s="36">
        <f t="shared" si="4"/>
        <v>13.575329839884718</v>
      </c>
      <c r="T45" s="1">
        <v>3</v>
      </c>
      <c r="U45" s="1"/>
      <c r="V45" s="1"/>
      <c r="W45" s="1">
        <f t="shared" ref="W45:W65" si="7">W44+1</f>
        <v>34</v>
      </c>
      <c r="X45" s="35">
        <f t="shared" si="5"/>
        <v>0</v>
      </c>
      <c r="Y45" s="35">
        <v>0</v>
      </c>
      <c r="Z45" s="34">
        <v>0</v>
      </c>
      <c r="AA45" s="33">
        <f t="shared" si="6"/>
        <v>0</v>
      </c>
    </row>
    <row r="46" spans="1:27">
      <c r="A46" s="12">
        <v>35</v>
      </c>
      <c r="B46" s="25"/>
      <c r="C46" s="41">
        <v>204</v>
      </c>
      <c r="D46" s="40">
        <v>204</v>
      </c>
      <c r="E46" s="42">
        <v>0.39</v>
      </c>
      <c r="F46" s="28">
        <v>0.38</v>
      </c>
      <c r="G46" s="28">
        <v>0.38</v>
      </c>
      <c r="H46" s="28">
        <v>0.38</v>
      </c>
      <c r="I46" s="28">
        <v>0.39</v>
      </c>
      <c r="J46" s="28"/>
      <c r="K46" s="39">
        <v>26.33</v>
      </c>
      <c r="L46" s="38">
        <v>26.27</v>
      </c>
      <c r="M46" s="25" t="s">
        <v>20</v>
      </c>
      <c r="N46" s="25" t="s">
        <v>20</v>
      </c>
      <c r="O46" s="24" t="s">
        <v>20</v>
      </c>
      <c r="P46" s="23"/>
      <c r="Q46" s="22" t="s">
        <v>19</v>
      </c>
      <c r="R46" s="37">
        <v>27.9</v>
      </c>
      <c r="S46" s="36">
        <f t="shared" si="4"/>
        <v>13.542132632520691</v>
      </c>
      <c r="T46" s="1">
        <v>3</v>
      </c>
      <c r="U46" s="1"/>
      <c r="V46" s="1"/>
      <c r="W46" s="1">
        <f t="shared" si="7"/>
        <v>35</v>
      </c>
      <c r="X46" s="35">
        <f t="shared" si="5"/>
        <v>0</v>
      </c>
      <c r="Y46" s="35">
        <v>0</v>
      </c>
      <c r="Z46" s="34">
        <v>0</v>
      </c>
      <c r="AA46" s="33">
        <f t="shared" si="6"/>
        <v>0</v>
      </c>
    </row>
    <row r="47" spans="1:27">
      <c r="A47" s="12">
        <v>36</v>
      </c>
      <c r="B47" s="25"/>
      <c r="C47" s="41">
        <v>204</v>
      </c>
      <c r="D47" s="40">
        <v>204</v>
      </c>
      <c r="E47" s="42">
        <v>0.38</v>
      </c>
      <c r="F47" s="28">
        <v>0.38</v>
      </c>
      <c r="G47" s="28">
        <v>0.38</v>
      </c>
      <c r="H47" s="28">
        <v>0.38</v>
      </c>
      <c r="I47" s="28">
        <v>0.38</v>
      </c>
      <c r="J47" s="28"/>
      <c r="K47" s="39">
        <v>26.27</v>
      </c>
      <c r="L47" s="38">
        <v>26.13</v>
      </c>
      <c r="M47" s="25" t="s">
        <v>20</v>
      </c>
      <c r="N47" s="25" t="s">
        <v>20</v>
      </c>
      <c r="O47" s="24" t="s">
        <v>20</v>
      </c>
      <c r="P47" s="23" t="s">
        <v>20</v>
      </c>
      <c r="Q47" s="22" t="s">
        <v>21</v>
      </c>
      <c r="R47" s="37">
        <v>27.7</v>
      </c>
      <c r="S47" s="36">
        <f t="shared" si="4"/>
        <v>13.638440510796524</v>
      </c>
      <c r="T47" s="1">
        <v>3</v>
      </c>
      <c r="U47" s="1"/>
      <c r="V47" s="1"/>
      <c r="W47" s="1">
        <f t="shared" si="7"/>
        <v>36</v>
      </c>
      <c r="X47" s="35">
        <f t="shared" si="5"/>
        <v>0</v>
      </c>
      <c r="Y47" s="35">
        <v>0</v>
      </c>
      <c r="Z47" s="34">
        <v>0</v>
      </c>
      <c r="AA47" s="33">
        <f t="shared" si="6"/>
        <v>0</v>
      </c>
    </row>
    <row r="48" spans="1:27">
      <c r="A48" s="12">
        <v>37</v>
      </c>
      <c r="B48" s="25"/>
      <c r="C48" s="41">
        <v>204</v>
      </c>
      <c r="D48" s="40">
        <v>204</v>
      </c>
      <c r="E48" s="42">
        <v>0.39</v>
      </c>
      <c r="F48" s="28">
        <v>0.39</v>
      </c>
      <c r="G48" s="28">
        <v>0.39</v>
      </c>
      <c r="H48" s="28">
        <v>0.39</v>
      </c>
      <c r="I48" s="28">
        <v>0.39</v>
      </c>
      <c r="J48" s="28"/>
      <c r="K48" s="39">
        <v>26.19</v>
      </c>
      <c r="L48" s="38">
        <v>26.28</v>
      </c>
      <c r="M48" s="25" t="s">
        <v>20</v>
      </c>
      <c r="N48" s="25" t="s">
        <v>20</v>
      </c>
      <c r="O48" s="24" t="s">
        <v>20</v>
      </c>
      <c r="P48" s="23" t="s">
        <v>20</v>
      </c>
      <c r="Q48" s="22" t="s">
        <v>21</v>
      </c>
      <c r="R48" s="37">
        <v>28.2</v>
      </c>
      <c r="S48" s="36">
        <f t="shared" si="4"/>
        <v>13.510557350734929</v>
      </c>
      <c r="T48" s="1">
        <v>3</v>
      </c>
      <c r="U48" s="1"/>
      <c r="V48" s="1"/>
      <c r="W48" s="1">
        <f t="shared" si="7"/>
        <v>37</v>
      </c>
      <c r="X48" s="35">
        <f t="shared" si="5"/>
        <v>0</v>
      </c>
      <c r="Y48" s="35">
        <v>0</v>
      </c>
      <c r="Z48" s="34">
        <v>0</v>
      </c>
      <c r="AA48" s="33">
        <f t="shared" si="6"/>
        <v>0</v>
      </c>
    </row>
    <row r="49" spans="1:28">
      <c r="A49" s="44">
        <v>38</v>
      </c>
      <c r="B49" s="25"/>
      <c r="C49" s="41">
        <v>204</v>
      </c>
      <c r="D49" s="40">
        <v>204</v>
      </c>
      <c r="E49" s="42">
        <v>0.39</v>
      </c>
      <c r="F49" s="28">
        <v>0.39</v>
      </c>
      <c r="G49" s="28">
        <v>0.39</v>
      </c>
      <c r="H49" s="28">
        <v>0.39</v>
      </c>
      <c r="I49" s="28">
        <v>0.39</v>
      </c>
      <c r="J49" s="28"/>
      <c r="K49" s="39">
        <v>26.17</v>
      </c>
      <c r="L49" s="38">
        <v>26.09</v>
      </c>
      <c r="M49" s="25"/>
      <c r="N49" s="25"/>
      <c r="O49" s="24" t="s">
        <v>22</v>
      </c>
      <c r="P49" s="23" t="s">
        <v>22</v>
      </c>
      <c r="Q49" s="23"/>
      <c r="R49" s="37">
        <v>28.1</v>
      </c>
      <c r="S49" s="36">
        <f t="shared" si="4"/>
        <v>13.516745467849674</v>
      </c>
      <c r="T49" s="1">
        <v>3</v>
      </c>
      <c r="U49" s="1"/>
      <c r="V49" s="1"/>
      <c r="W49" s="43">
        <f t="shared" si="7"/>
        <v>38</v>
      </c>
      <c r="X49" s="35">
        <f t="shared" si="5"/>
        <v>0</v>
      </c>
      <c r="Y49" s="35">
        <v>0</v>
      </c>
      <c r="Z49" s="34">
        <v>0</v>
      </c>
      <c r="AA49" s="33">
        <f t="shared" si="6"/>
        <v>1</v>
      </c>
      <c r="AB49" t="s">
        <v>24</v>
      </c>
    </row>
    <row r="50" spans="1:28">
      <c r="A50" s="12">
        <v>39</v>
      </c>
      <c r="B50" s="25"/>
      <c r="C50" s="41">
        <v>204</v>
      </c>
      <c r="D50" s="40">
        <v>204</v>
      </c>
      <c r="E50" s="42">
        <v>0.38</v>
      </c>
      <c r="F50" s="28">
        <v>0.39</v>
      </c>
      <c r="G50" s="28">
        <v>0.39</v>
      </c>
      <c r="H50" s="28">
        <v>0.39</v>
      </c>
      <c r="I50" s="28">
        <v>0.39</v>
      </c>
      <c r="J50" s="28"/>
      <c r="K50" s="39">
        <v>26.4</v>
      </c>
      <c r="L50" s="38">
        <v>26.31</v>
      </c>
      <c r="M50" s="25" t="s">
        <v>20</v>
      </c>
      <c r="N50" s="25" t="s">
        <v>20</v>
      </c>
      <c r="O50" s="24" t="s">
        <v>20</v>
      </c>
      <c r="P50" s="23" t="s">
        <v>20</v>
      </c>
      <c r="Q50" s="23"/>
      <c r="R50" s="37">
        <v>28.1</v>
      </c>
      <c r="S50" s="36">
        <f t="shared" si="4"/>
        <v>13.470428354252668</v>
      </c>
      <c r="T50" s="1">
        <v>3</v>
      </c>
      <c r="U50" s="1"/>
      <c r="V50" s="1"/>
      <c r="W50" s="1">
        <f t="shared" si="7"/>
        <v>39</v>
      </c>
      <c r="X50" s="35">
        <f t="shared" si="5"/>
        <v>0</v>
      </c>
      <c r="Y50" s="35">
        <v>0</v>
      </c>
      <c r="Z50" s="34">
        <v>0</v>
      </c>
      <c r="AA50" s="33">
        <f t="shared" si="6"/>
        <v>0</v>
      </c>
    </row>
    <row r="51" spans="1:28">
      <c r="A51" s="12">
        <v>40</v>
      </c>
      <c r="B51" s="25"/>
      <c r="C51" s="41">
        <v>204</v>
      </c>
      <c r="D51" s="40">
        <v>204</v>
      </c>
      <c r="E51" s="42">
        <v>0.39</v>
      </c>
      <c r="F51" s="28">
        <v>0.39</v>
      </c>
      <c r="G51" s="28">
        <v>0.39</v>
      </c>
      <c r="H51" s="28">
        <v>0.39</v>
      </c>
      <c r="I51" s="28">
        <v>0.38</v>
      </c>
      <c r="J51" s="28"/>
      <c r="K51" s="39">
        <v>26.28</v>
      </c>
      <c r="L51" s="38">
        <v>26.3</v>
      </c>
      <c r="M51" s="25"/>
      <c r="N51" s="25" t="s">
        <v>20</v>
      </c>
      <c r="O51" s="24"/>
      <c r="P51" s="23" t="s">
        <v>20</v>
      </c>
      <c r="Q51" s="23"/>
      <c r="R51" s="37">
        <v>28</v>
      </c>
      <c r="S51" s="36">
        <f t="shared" si="4"/>
        <v>13.455676961643556</v>
      </c>
      <c r="T51" s="1">
        <v>3</v>
      </c>
      <c r="U51" s="1"/>
      <c r="V51" s="1"/>
      <c r="W51" s="1">
        <f t="shared" si="7"/>
        <v>40</v>
      </c>
      <c r="X51" s="35">
        <f t="shared" si="5"/>
        <v>0</v>
      </c>
      <c r="Y51" s="35">
        <v>0</v>
      </c>
      <c r="Z51" s="34">
        <v>0</v>
      </c>
      <c r="AA51" s="33">
        <f t="shared" si="6"/>
        <v>0</v>
      </c>
    </row>
    <row r="52" spans="1:28">
      <c r="A52" s="12">
        <v>41</v>
      </c>
      <c r="B52" s="25"/>
      <c r="C52" s="41">
        <v>204</v>
      </c>
      <c r="D52" s="40">
        <v>204</v>
      </c>
      <c r="E52" s="42">
        <v>0.39</v>
      </c>
      <c r="F52" s="28">
        <v>0.39</v>
      </c>
      <c r="G52" s="28">
        <v>0.39</v>
      </c>
      <c r="H52" s="28">
        <v>0.39</v>
      </c>
      <c r="I52" s="28">
        <v>0.39</v>
      </c>
      <c r="J52" s="28"/>
      <c r="K52" s="39">
        <v>26.1</v>
      </c>
      <c r="L52" s="38">
        <v>26.37</v>
      </c>
      <c r="M52" s="25"/>
      <c r="N52" s="25"/>
      <c r="O52" s="24" t="s">
        <v>20</v>
      </c>
      <c r="P52" s="23" t="s">
        <v>20</v>
      </c>
      <c r="Q52" s="22" t="s">
        <v>21</v>
      </c>
      <c r="R52" s="37">
        <v>28</v>
      </c>
      <c r="S52" s="36">
        <f t="shared" si="4"/>
        <v>13.414737795055958</v>
      </c>
      <c r="T52" s="1">
        <v>3</v>
      </c>
      <c r="U52" s="1"/>
      <c r="V52" s="1"/>
      <c r="W52" s="1">
        <f t="shared" si="7"/>
        <v>41</v>
      </c>
      <c r="X52" s="35">
        <f t="shared" si="5"/>
        <v>0</v>
      </c>
      <c r="Y52" s="35">
        <v>0</v>
      </c>
      <c r="Z52" s="34">
        <v>0</v>
      </c>
      <c r="AA52" s="33">
        <f t="shared" si="6"/>
        <v>0</v>
      </c>
    </row>
    <row r="53" spans="1:28">
      <c r="A53" s="12">
        <v>42</v>
      </c>
      <c r="B53" s="25"/>
      <c r="C53" s="41">
        <v>204</v>
      </c>
      <c r="D53" s="40">
        <v>204</v>
      </c>
      <c r="E53" s="42">
        <v>0.38</v>
      </c>
      <c r="F53" s="28">
        <v>0.38</v>
      </c>
      <c r="G53" s="28">
        <v>0.38</v>
      </c>
      <c r="H53" s="28">
        <v>0.38</v>
      </c>
      <c r="I53" s="28">
        <v>0.38</v>
      </c>
      <c r="J53" s="28"/>
      <c r="K53" s="39">
        <v>26.41</v>
      </c>
      <c r="L53" s="38">
        <v>26.34</v>
      </c>
      <c r="M53" s="25" t="s">
        <v>20</v>
      </c>
      <c r="N53" s="25"/>
      <c r="O53" s="24"/>
      <c r="P53" s="23"/>
      <c r="Q53" s="23"/>
      <c r="R53" s="37">
        <v>27.8</v>
      </c>
      <c r="S53" s="36">
        <f t="shared" si="4"/>
        <v>13.596858049780153</v>
      </c>
      <c r="T53" s="1">
        <v>3</v>
      </c>
      <c r="U53" s="1"/>
      <c r="V53" s="1"/>
      <c r="W53" s="1">
        <f t="shared" si="7"/>
        <v>42</v>
      </c>
      <c r="X53" s="35">
        <f t="shared" si="5"/>
        <v>0</v>
      </c>
      <c r="Y53" s="35">
        <v>0</v>
      </c>
      <c r="Z53" s="34">
        <v>0</v>
      </c>
      <c r="AA53" s="33">
        <f t="shared" si="6"/>
        <v>0</v>
      </c>
    </row>
    <row r="54" spans="1:28">
      <c r="A54" s="12">
        <v>43</v>
      </c>
      <c r="B54" s="25"/>
      <c r="C54" s="41">
        <v>204</v>
      </c>
      <c r="D54" s="40">
        <v>204</v>
      </c>
      <c r="E54" s="42">
        <v>0.38</v>
      </c>
      <c r="F54" s="28">
        <v>0.38</v>
      </c>
      <c r="G54" s="28">
        <v>0.39</v>
      </c>
      <c r="H54" s="28">
        <v>0.39</v>
      </c>
      <c r="I54" s="28">
        <v>0.39</v>
      </c>
      <c r="J54" s="28"/>
      <c r="K54" s="39">
        <v>26.31</v>
      </c>
      <c r="L54" s="38">
        <v>26.21</v>
      </c>
      <c r="M54" s="25" t="s">
        <v>20</v>
      </c>
      <c r="N54" s="25"/>
      <c r="O54" s="24" t="s">
        <v>20</v>
      </c>
      <c r="P54" s="23"/>
      <c r="Q54" s="22" t="s">
        <v>19</v>
      </c>
      <c r="R54" s="37">
        <v>28.4</v>
      </c>
      <c r="S54" s="36">
        <f t="shared" si="4"/>
        <v>13.734287877947292</v>
      </c>
      <c r="T54" s="1">
        <v>3</v>
      </c>
      <c r="U54" s="1"/>
      <c r="V54" s="1"/>
      <c r="W54" s="1">
        <f t="shared" si="7"/>
        <v>43</v>
      </c>
      <c r="X54" s="35">
        <f t="shared" si="5"/>
        <v>0</v>
      </c>
      <c r="Y54" s="35">
        <v>0</v>
      </c>
      <c r="Z54" s="34">
        <v>0</v>
      </c>
      <c r="AA54" s="33">
        <f t="shared" si="6"/>
        <v>0</v>
      </c>
    </row>
    <row r="55" spans="1:28">
      <c r="A55" s="12">
        <v>44</v>
      </c>
      <c r="B55" s="25"/>
      <c r="C55" s="41">
        <v>204</v>
      </c>
      <c r="D55" s="40">
        <v>204</v>
      </c>
      <c r="E55" s="42">
        <v>0.39</v>
      </c>
      <c r="F55" s="28">
        <v>0.4</v>
      </c>
      <c r="G55" s="28">
        <v>0.4</v>
      </c>
      <c r="H55" s="28">
        <v>0.39</v>
      </c>
      <c r="I55" s="28">
        <v>0.39</v>
      </c>
      <c r="J55" s="28"/>
      <c r="K55" s="39">
        <v>26.27</v>
      </c>
      <c r="L55" s="38">
        <v>26.29</v>
      </c>
      <c r="M55" s="25"/>
      <c r="N55" s="25"/>
      <c r="O55" s="24" t="s">
        <v>20</v>
      </c>
      <c r="P55" s="23" t="s">
        <v>20</v>
      </c>
      <c r="Q55" s="23"/>
      <c r="R55" s="37">
        <v>28.8</v>
      </c>
      <c r="S55" s="36">
        <f t="shared" si="4"/>
        <v>13.634547762502537</v>
      </c>
      <c r="T55" s="1">
        <v>3</v>
      </c>
      <c r="U55" s="1"/>
      <c r="V55" s="1"/>
      <c r="W55" s="1">
        <f t="shared" si="7"/>
        <v>44</v>
      </c>
      <c r="X55" s="35">
        <f t="shared" si="5"/>
        <v>0</v>
      </c>
      <c r="Y55" s="35">
        <v>0</v>
      </c>
      <c r="Z55" s="34">
        <v>0</v>
      </c>
      <c r="AA55" s="33">
        <f t="shared" si="6"/>
        <v>0</v>
      </c>
    </row>
    <row r="56" spans="1:28">
      <c r="A56" s="12">
        <v>45</v>
      </c>
      <c r="B56" s="25"/>
      <c r="C56" s="41">
        <v>204</v>
      </c>
      <c r="D56" s="40">
        <v>204</v>
      </c>
      <c r="E56" s="42">
        <v>0.38</v>
      </c>
      <c r="F56" s="28">
        <v>0.39</v>
      </c>
      <c r="G56" s="28">
        <v>0.39</v>
      </c>
      <c r="H56" s="28">
        <v>0.38</v>
      </c>
      <c r="I56" s="28">
        <v>0.38</v>
      </c>
      <c r="J56" s="28"/>
      <c r="K56" s="39">
        <v>26.12</v>
      </c>
      <c r="L56" s="38">
        <v>26.22</v>
      </c>
      <c r="M56" s="25"/>
      <c r="N56" s="25" t="s">
        <v>20</v>
      </c>
      <c r="O56" s="24"/>
      <c r="P56" s="23"/>
      <c r="Q56" s="23" t="s">
        <v>23</v>
      </c>
      <c r="R56" s="37">
        <v>27.7</v>
      </c>
      <c r="S56" s="36">
        <f t="shared" si="4"/>
        <v>13.51184500038711</v>
      </c>
      <c r="T56" s="1">
        <v>3</v>
      </c>
      <c r="U56" s="1"/>
      <c r="V56" s="1"/>
      <c r="W56" s="1">
        <f t="shared" si="7"/>
        <v>45</v>
      </c>
      <c r="X56" s="35">
        <f t="shared" si="5"/>
        <v>0</v>
      </c>
      <c r="Y56" s="35">
        <v>0</v>
      </c>
      <c r="Z56" s="34">
        <v>0</v>
      </c>
      <c r="AA56" s="33">
        <f t="shared" si="6"/>
        <v>0</v>
      </c>
    </row>
    <row r="57" spans="1:28">
      <c r="A57" s="12">
        <v>46</v>
      </c>
      <c r="B57" s="25"/>
      <c r="C57" s="41">
        <v>204</v>
      </c>
      <c r="D57" s="40">
        <v>204</v>
      </c>
      <c r="E57" s="42">
        <v>0.38</v>
      </c>
      <c r="F57" s="28">
        <v>0.39</v>
      </c>
      <c r="G57" s="28">
        <v>0.39</v>
      </c>
      <c r="H57" s="28">
        <v>0.39</v>
      </c>
      <c r="I57" s="28">
        <v>0.39</v>
      </c>
      <c r="J57" s="28"/>
      <c r="K57" s="39">
        <v>26.33</v>
      </c>
      <c r="L57" s="38">
        <v>26.3</v>
      </c>
      <c r="M57" s="25" t="s">
        <v>20</v>
      </c>
      <c r="N57" s="25"/>
      <c r="O57" s="24" t="s">
        <v>20</v>
      </c>
      <c r="P57" s="23"/>
      <c r="Q57" s="23"/>
      <c r="R57" s="37">
        <v>28.3</v>
      </c>
      <c r="S57" s="36">
        <f t="shared" si="4"/>
        <v>13.586924688799893</v>
      </c>
      <c r="T57" s="1">
        <v>3</v>
      </c>
      <c r="U57" s="1"/>
      <c r="V57" s="1"/>
      <c r="W57" s="1">
        <f t="shared" si="7"/>
        <v>46</v>
      </c>
      <c r="X57" s="35">
        <f t="shared" si="5"/>
        <v>0</v>
      </c>
      <c r="Y57" s="35">
        <v>0</v>
      </c>
      <c r="Z57" s="34">
        <v>0</v>
      </c>
      <c r="AA57" s="33">
        <f t="shared" si="6"/>
        <v>0</v>
      </c>
    </row>
    <row r="58" spans="1:28">
      <c r="A58" s="12">
        <v>47</v>
      </c>
      <c r="B58" s="25"/>
      <c r="C58" s="41">
        <v>204</v>
      </c>
      <c r="D58" s="40">
        <v>204</v>
      </c>
      <c r="E58" s="42">
        <v>0.39</v>
      </c>
      <c r="F58" s="28">
        <v>0.39</v>
      </c>
      <c r="G58" s="28">
        <v>0.39</v>
      </c>
      <c r="H58" s="28">
        <v>0.39</v>
      </c>
      <c r="I58" s="28">
        <v>0.39</v>
      </c>
      <c r="J58" s="28"/>
      <c r="K58" s="39">
        <v>26.1</v>
      </c>
      <c r="L58" s="38">
        <v>26.31</v>
      </c>
      <c r="M58" s="25"/>
      <c r="N58" s="25" t="s">
        <v>20</v>
      </c>
      <c r="O58" s="24"/>
      <c r="P58" s="23"/>
      <c r="Q58" s="22" t="s">
        <v>19</v>
      </c>
      <c r="R58" s="37">
        <v>28.3</v>
      </c>
      <c r="S58" s="36">
        <f t="shared" si="4"/>
        <v>13.573989128721612</v>
      </c>
      <c r="T58" s="1">
        <v>3</v>
      </c>
      <c r="U58" s="1"/>
      <c r="V58" s="1"/>
      <c r="W58" s="1">
        <f t="shared" si="7"/>
        <v>47</v>
      </c>
      <c r="X58" s="35">
        <f t="shared" si="5"/>
        <v>0</v>
      </c>
      <c r="Y58" s="35">
        <v>0</v>
      </c>
      <c r="Z58" s="34">
        <v>0</v>
      </c>
      <c r="AA58" s="33">
        <f t="shared" si="6"/>
        <v>0</v>
      </c>
    </row>
    <row r="59" spans="1:28">
      <c r="A59" s="12">
        <v>48</v>
      </c>
      <c r="B59" s="25"/>
      <c r="C59" s="41">
        <v>204</v>
      </c>
      <c r="D59" s="40">
        <v>204</v>
      </c>
      <c r="E59" s="42">
        <v>0.38</v>
      </c>
      <c r="F59" s="28">
        <v>0.39</v>
      </c>
      <c r="G59" s="28">
        <v>0.39</v>
      </c>
      <c r="H59" s="28">
        <v>0.39</v>
      </c>
      <c r="I59" s="28">
        <v>0.39</v>
      </c>
      <c r="J59" s="28"/>
      <c r="K59" s="39">
        <v>26.25</v>
      </c>
      <c r="L59" s="38">
        <v>26.2</v>
      </c>
      <c r="M59" s="25"/>
      <c r="N59" s="25"/>
      <c r="O59" s="24"/>
      <c r="P59" s="23" t="s">
        <v>20</v>
      </c>
      <c r="Q59" s="23"/>
      <c r="R59" s="37">
        <v>28.1</v>
      </c>
      <c r="S59" s="36">
        <f t="shared" si="4"/>
        <v>13.537202641614071</v>
      </c>
      <c r="T59" s="1">
        <v>3</v>
      </c>
      <c r="U59" s="1"/>
      <c r="V59" s="1"/>
      <c r="W59" s="1">
        <f t="shared" si="7"/>
        <v>48</v>
      </c>
      <c r="X59" s="35">
        <f t="shared" si="5"/>
        <v>0</v>
      </c>
      <c r="Y59" s="35">
        <v>0</v>
      </c>
      <c r="Z59" s="34">
        <v>0</v>
      </c>
      <c r="AA59" s="33">
        <f t="shared" si="6"/>
        <v>0</v>
      </c>
    </row>
    <row r="60" spans="1:28">
      <c r="A60" s="12">
        <v>49</v>
      </c>
      <c r="B60" s="25"/>
      <c r="C60" s="41">
        <v>204</v>
      </c>
      <c r="D60" s="40">
        <v>204</v>
      </c>
      <c r="E60" s="42">
        <v>0.39</v>
      </c>
      <c r="F60" s="28">
        <v>0.39</v>
      </c>
      <c r="G60" s="28">
        <v>0.39</v>
      </c>
      <c r="H60" s="28">
        <v>0.39</v>
      </c>
      <c r="I60" s="28">
        <v>0.39</v>
      </c>
      <c r="J60" s="28"/>
      <c r="K60" s="39">
        <v>26.3</v>
      </c>
      <c r="L60" s="38">
        <v>26.31</v>
      </c>
      <c r="M60" s="25"/>
      <c r="N60" s="25" t="s">
        <v>22</v>
      </c>
      <c r="O60" s="24"/>
      <c r="P60" s="23" t="s">
        <v>20</v>
      </c>
      <c r="Q60" s="22" t="s">
        <v>21</v>
      </c>
      <c r="R60" s="37">
        <v>28.2</v>
      </c>
      <c r="S60" s="36">
        <f t="shared" si="4"/>
        <v>13.474604527524461</v>
      </c>
      <c r="T60" s="1">
        <v>3</v>
      </c>
      <c r="U60" s="1"/>
      <c r="V60" s="1"/>
      <c r="W60" s="1">
        <f t="shared" si="7"/>
        <v>49</v>
      </c>
      <c r="X60" s="35">
        <f t="shared" si="5"/>
        <v>0</v>
      </c>
      <c r="Y60" s="35">
        <v>0</v>
      </c>
      <c r="Z60" s="34">
        <v>0</v>
      </c>
      <c r="AA60" s="33">
        <f t="shared" si="6"/>
        <v>1</v>
      </c>
    </row>
    <row r="61" spans="1:28">
      <c r="A61" s="12">
        <v>50</v>
      </c>
      <c r="B61" s="25"/>
      <c r="C61" s="41">
        <v>204</v>
      </c>
      <c r="D61" s="40">
        <v>204</v>
      </c>
      <c r="E61" s="42">
        <v>0.38</v>
      </c>
      <c r="F61" s="28">
        <v>0.38</v>
      </c>
      <c r="G61" s="28">
        <v>0.38</v>
      </c>
      <c r="H61" s="28">
        <v>0.38</v>
      </c>
      <c r="I61" s="28">
        <v>0.38</v>
      </c>
      <c r="J61" s="28"/>
      <c r="K61" s="39">
        <v>26.3</v>
      </c>
      <c r="L61" s="38">
        <v>26.27</v>
      </c>
      <c r="M61" s="25" t="s">
        <v>22</v>
      </c>
      <c r="N61" s="25"/>
      <c r="O61" s="24" t="s">
        <v>20</v>
      </c>
      <c r="P61" s="23"/>
      <c r="Q61" s="22" t="s">
        <v>19</v>
      </c>
      <c r="R61" s="37">
        <v>27.6</v>
      </c>
      <c r="S61" s="36">
        <f t="shared" si="4"/>
        <v>13.545259718576618</v>
      </c>
      <c r="T61" s="1">
        <v>3</v>
      </c>
      <c r="U61" s="1"/>
      <c r="V61" s="1"/>
      <c r="W61" s="1">
        <f t="shared" si="7"/>
        <v>50</v>
      </c>
      <c r="X61" s="35">
        <f t="shared" si="5"/>
        <v>0</v>
      </c>
      <c r="Y61" s="35">
        <v>0</v>
      </c>
      <c r="Z61" s="34">
        <v>0</v>
      </c>
      <c r="AA61" s="33">
        <f t="shared" si="6"/>
        <v>1</v>
      </c>
    </row>
    <row r="62" spans="1:28">
      <c r="A62" s="12">
        <v>51</v>
      </c>
      <c r="B62" s="25"/>
      <c r="C62" s="41">
        <v>204</v>
      </c>
      <c r="D62" s="40">
        <v>204</v>
      </c>
      <c r="E62" s="42">
        <v>0.38</v>
      </c>
      <c r="F62" s="28">
        <v>0.38</v>
      </c>
      <c r="G62" s="28">
        <v>0.38</v>
      </c>
      <c r="H62" s="28">
        <v>0.38</v>
      </c>
      <c r="I62" s="28">
        <v>0.38</v>
      </c>
      <c r="J62" s="28"/>
      <c r="K62" s="39">
        <v>26.35</v>
      </c>
      <c r="L62" s="38">
        <v>26.12</v>
      </c>
      <c r="M62" s="25"/>
      <c r="N62" s="25"/>
      <c r="O62" s="24" t="s">
        <v>22</v>
      </c>
      <c r="P62" s="23" t="s">
        <v>20</v>
      </c>
      <c r="Q62" s="23"/>
      <c r="R62" s="37">
        <v>27.8</v>
      </c>
      <c r="S62" s="36">
        <f t="shared" si="4"/>
        <v>13.669416087781647</v>
      </c>
      <c r="T62" s="1">
        <v>3</v>
      </c>
      <c r="U62" s="1"/>
      <c r="V62" s="1"/>
      <c r="W62" s="1">
        <f t="shared" si="7"/>
        <v>51</v>
      </c>
      <c r="X62" s="35">
        <f t="shared" si="5"/>
        <v>0</v>
      </c>
      <c r="Y62" s="35">
        <v>0</v>
      </c>
      <c r="Z62" s="34">
        <v>0</v>
      </c>
      <c r="AA62" s="33">
        <f t="shared" si="6"/>
        <v>1</v>
      </c>
    </row>
    <row r="63" spans="1:28">
      <c r="A63" s="12">
        <v>52</v>
      </c>
      <c r="B63" s="25"/>
      <c r="C63" s="41">
        <v>204</v>
      </c>
      <c r="D63" s="40">
        <v>204</v>
      </c>
      <c r="E63" s="42">
        <v>0.39</v>
      </c>
      <c r="F63" s="28">
        <v>0.39</v>
      </c>
      <c r="G63" s="28">
        <v>0.38</v>
      </c>
      <c r="H63" s="28">
        <v>0.38</v>
      </c>
      <c r="I63" s="28">
        <v>0.38</v>
      </c>
      <c r="J63" s="28"/>
      <c r="K63" s="39">
        <v>26.3</v>
      </c>
      <c r="L63" s="38">
        <v>26.18</v>
      </c>
      <c r="M63" s="25" t="s">
        <v>20</v>
      </c>
      <c r="N63" s="25"/>
      <c r="O63" s="24"/>
      <c r="P63" s="23"/>
      <c r="Q63" s="22" t="s">
        <v>21</v>
      </c>
      <c r="R63" s="37">
        <v>27.6</v>
      </c>
      <c r="S63" s="36">
        <f t="shared" si="4"/>
        <v>13.427150585844094</v>
      </c>
      <c r="T63" s="1">
        <v>3</v>
      </c>
      <c r="U63" s="1"/>
      <c r="V63" s="1"/>
      <c r="W63" s="1">
        <f t="shared" si="7"/>
        <v>52</v>
      </c>
      <c r="X63" s="35">
        <f t="shared" si="5"/>
        <v>0</v>
      </c>
      <c r="Y63" s="35">
        <v>0</v>
      </c>
      <c r="Z63" s="34">
        <v>0</v>
      </c>
      <c r="AA63" s="33">
        <f t="shared" si="6"/>
        <v>0</v>
      </c>
    </row>
    <row r="64" spans="1:28">
      <c r="A64" s="32">
        <v>53</v>
      </c>
      <c r="B64" s="25"/>
      <c r="C64" s="41">
        <v>204</v>
      </c>
      <c r="D64" s="40">
        <v>204</v>
      </c>
      <c r="E64" s="29">
        <v>0.38</v>
      </c>
      <c r="F64" s="28">
        <v>0.39</v>
      </c>
      <c r="G64" s="28">
        <v>0.39</v>
      </c>
      <c r="H64" s="28">
        <v>0.39</v>
      </c>
      <c r="I64" s="28">
        <v>0.39</v>
      </c>
      <c r="J64" s="28"/>
      <c r="K64" s="39">
        <v>26.32</v>
      </c>
      <c r="L64" s="38">
        <v>26.12</v>
      </c>
      <c r="M64" s="25"/>
      <c r="N64" s="24" t="s">
        <v>20</v>
      </c>
      <c r="O64" s="24"/>
      <c r="P64" s="23" t="s">
        <v>20</v>
      </c>
      <c r="Q64" s="22" t="s">
        <v>21</v>
      </c>
      <c r="R64" s="37">
        <v>28.1</v>
      </c>
      <c r="S64" s="36">
        <f t="shared" si="4"/>
        <v>13.539784106648703</v>
      </c>
      <c r="T64" s="1">
        <v>3</v>
      </c>
      <c r="U64" s="1"/>
      <c r="V64" s="1"/>
      <c r="W64" s="1">
        <f t="shared" si="7"/>
        <v>53</v>
      </c>
      <c r="X64" s="35">
        <f t="shared" si="5"/>
        <v>0</v>
      </c>
      <c r="Y64" s="35">
        <v>0</v>
      </c>
      <c r="Z64" s="34">
        <v>0</v>
      </c>
      <c r="AA64" s="33">
        <f t="shared" si="6"/>
        <v>0</v>
      </c>
    </row>
    <row r="65" spans="1:27">
      <c r="A65" s="32">
        <v>54</v>
      </c>
      <c r="B65" s="25"/>
      <c r="C65" s="31">
        <v>204</v>
      </c>
      <c r="D65" s="30">
        <v>204</v>
      </c>
      <c r="E65" s="29">
        <v>0.38</v>
      </c>
      <c r="F65" s="28">
        <v>0.38</v>
      </c>
      <c r="G65" s="28">
        <v>0.38</v>
      </c>
      <c r="H65" s="28">
        <v>0.38</v>
      </c>
      <c r="I65" s="28">
        <v>0.38</v>
      </c>
      <c r="J65" s="28"/>
      <c r="K65" s="27">
        <v>26.06</v>
      </c>
      <c r="L65" s="26">
        <v>26.3</v>
      </c>
      <c r="M65" s="25" t="s">
        <v>20</v>
      </c>
      <c r="N65" s="24" t="s">
        <v>20</v>
      </c>
      <c r="O65" s="24" t="s">
        <v>20</v>
      </c>
      <c r="P65" s="23"/>
      <c r="Q65" s="22" t="s">
        <v>19</v>
      </c>
      <c r="R65" s="21">
        <v>27.2</v>
      </c>
      <c r="S65" s="20">
        <f t="shared" si="4"/>
        <v>13.402490182675942</v>
      </c>
      <c r="T65" s="1">
        <v>3</v>
      </c>
      <c r="U65" s="1"/>
      <c r="V65" s="1"/>
      <c r="W65" s="1">
        <f t="shared" si="7"/>
        <v>54</v>
      </c>
      <c r="X65" s="19">
        <f t="shared" si="5"/>
        <v>0</v>
      </c>
      <c r="Y65" s="19">
        <v>0</v>
      </c>
      <c r="Z65" s="18">
        <v>0</v>
      </c>
      <c r="AA65" s="17">
        <f t="shared" si="6"/>
        <v>0</v>
      </c>
    </row>
    <row r="66" spans="1:27" s="14" customFormat="1">
      <c r="A66" s="16" t="s">
        <v>18</v>
      </c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>
        <f>SUM(Y12:Y65)</f>
        <v>0</v>
      </c>
      <c r="Z66" s="16">
        <f>SUM(Z12:Z65)</f>
        <v>0</v>
      </c>
      <c r="AA66" s="15">
        <f>SUM(AA12:AA65)</f>
        <v>11</v>
      </c>
    </row>
    <row r="67" spans="1:2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7">
      <c r="A68" s="13" t="s">
        <v>17</v>
      </c>
      <c r="B68" s="1"/>
      <c r="C68" s="383" t="s">
        <v>16</v>
      </c>
      <c r="D68" s="383"/>
      <c r="E68" s="383" t="s">
        <v>15</v>
      </c>
      <c r="F68" s="383"/>
      <c r="G68" s="1"/>
      <c r="H68" s="1"/>
      <c r="I68" s="1"/>
      <c r="J68" s="1"/>
      <c r="K68" s="383" t="s">
        <v>14</v>
      </c>
      <c r="L68" s="383"/>
      <c r="M68" s="1"/>
      <c r="N68" s="1"/>
      <c r="O68" s="1"/>
      <c r="P68" s="1"/>
      <c r="Q68" s="383" t="s">
        <v>13</v>
      </c>
      <c r="R68" s="383"/>
      <c r="S68" s="383" t="s">
        <v>12</v>
      </c>
      <c r="T68" s="383"/>
      <c r="U68" s="1"/>
      <c r="V68" s="1"/>
      <c r="W68" s="1"/>
      <c r="X68" s="1"/>
      <c r="Y68" s="1"/>
      <c r="Z68" s="1"/>
    </row>
    <row r="69" spans="1:27">
      <c r="A69" s="12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7">
      <c r="A70" s="1" t="s">
        <v>11</v>
      </c>
      <c r="B70" s="1"/>
      <c r="C70" s="1">
        <f>8*25.4</f>
        <v>203.2</v>
      </c>
      <c r="D70" s="1"/>
      <c r="E70" s="1">
        <f>C6</f>
        <v>0.38099999999999995</v>
      </c>
      <c r="F70" s="1"/>
      <c r="G70" s="1"/>
      <c r="H70" s="1"/>
      <c r="I70" s="1"/>
      <c r="J70" s="1"/>
      <c r="K70" s="11">
        <v>25.4</v>
      </c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7">
      <c r="A71" s="1" t="s">
        <v>10</v>
      </c>
      <c r="B71" s="1"/>
      <c r="C71" s="1">
        <f>MODE(C12:D65)</f>
        <v>204</v>
      </c>
      <c r="D71" s="1"/>
      <c r="E71" s="1">
        <f>MODE(E12:I65)</f>
        <v>0.39</v>
      </c>
      <c r="F71" s="1"/>
      <c r="G71" s="1"/>
      <c r="H71" s="1"/>
      <c r="I71" s="1"/>
      <c r="J71" s="1"/>
      <c r="K71" s="1">
        <f>MODE(K12:K65)</f>
        <v>26.27</v>
      </c>
      <c r="L71" s="1"/>
      <c r="M71" s="1"/>
      <c r="N71" s="1"/>
      <c r="O71" s="1"/>
      <c r="P71" s="1"/>
      <c r="Q71" s="1"/>
      <c r="R71" s="1">
        <f>MODE(R12:R65)</f>
        <v>27.8</v>
      </c>
      <c r="S71" s="1" t="e">
        <f>MODE(S12:S65)</f>
        <v>#N/A</v>
      </c>
      <c r="T71" s="1"/>
      <c r="U71" s="1"/>
      <c r="V71" s="1"/>
      <c r="W71" s="1"/>
      <c r="X71" s="1"/>
      <c r="Y71" s="1"/>
      <c r="Z71" s="1"/>
    </row>
    <row r="72" spans="1:27">
      <c r="A72" s="1" t="s">
        <v>9</v>
      </c>
      <c r="B72" s="1"/>
      <c r="C72" s="10">
        <f>AVERAGE(C12:D65)</f>
        <v>203.87962962962962</v>
      </c>
      <c r="D72" s="10"/>
      <c r="E72" s="7">
        <f>AVERAGE(E12:I65)</f>
        <v>0.38399999999999984</v>
      </c>
      <c r="F72" s="1"/>
      <c r="G72" s="1"/>
      <c r="H72" s="1"/>
      <c r="I72" s="1"/>
      <c r="J72" s="1"/>
      <c r="K72" s="6">
        <f>AVERAGE(K12:K65)</f>
        <v>26.256481481481472</v>
      </c>
      <c r="L72" s="1"/>
      <c r="M72" s="1"/>
      <c r="N72" s="1"/>
      <c r="O72" s="1"/>
      <c r="P72" s="1"/>
      <c r="Q72" s="1"/>
      <c r="R72" s="9">
        <f>AVERAGE(R12:R65)</f>
        <v>27.970370370370361</v>
      </c>
      <c r="S72" s="9">
        <f>AVERAGE(S12:S65)</f>
        <v>13.614555563050022</v>
      </c>
      <c r="T72" s="1"/>
      <c r="U72" s="1"/>
      <c r="V72" s="1"/>
      <c r="W72" s="1"/>
      <c r="X72" s="1"/>
      <c r="Y72" s="1"/>
      <c r="Z72" s="1"/>
    </row>
    <row r="73" spans="1:27">
      <c r="A73" s="1" t="s">
        <v>8</v>
      </c>
      <c r="B73" s="1"/>
      <c r="C73" s="7">
        <f>STDEV(C12:D65)</f>
        <v>0.32691113407342098</v>
      </c>
      <c r="D73" s="1"/>
      <c r="E73" s="7">
        <f>STDEV(E12:I65)</f>
        <v>6.7565196381582223E-3</v>
      </c>
      <c r="F73" s="1"/>
      <c r="G73" s="1"/>
      <c r="H73" s="1"/>
      <c r="I73" s="1"/>
      <c r="J73" s="1"/>
      <c r="K73" s="7">
        <f>STDEV(K12:K65)</f>
        <v>0.11300621801906001</v>
      </c>
      <c r="L73" s="1"/>
      <c r="M73" s="1"/>
      <c r="N73" s="1"/>
      <c r="O73" s="1"/>
      <c r="P73" s="1"/>
      <c r="Q73" s="1"/>
      <c r="R73" s="7">
        <f>STDEV(R12:R65)</f>
        <v>0.38736148084362965</v>
      </c>
      <c r="S73" s="7">
        <f>STDEV(S12:S65)</f>
        <v>0.14482374084519203</v>
      </c>
      <c r="T73" s="1"/>
      <c r="U73" s="1"/>
      <c r="V73" s="1"/>
      <c r="W73" s="1"/>
      <c r="X73" s="1"/>
      <c r="Y73" s="1"/>
      <c r="Z73" s="1"/>
    </row>
    <row r="74" spans="1:27">
      <c r="A74" s="8" t="s">
        <v>7</v>
      </c>
      <c r="B74" s="1"/>
      <c r="C74" s="10">
        <f>C72+C73</f>
        <v>204.20654076370303</v>
      </c>
      <c r="D74" s="1"/>
      <c r="E74" s="7">
        <f>E72+E73</f>
        <v>0.39075651963815805</v>
      </c>
      <c r="F74" s="1"/>
      <c r="G74" s="1"/>
      <c r="H74" s="1"/>
      <c r="I74" s="1"/>
      <c r="J74" s="1"/>
      <c r="K74" s="6">
        <f>K72+K73</f>
        <v>26.369487699500532</v>
      </c>
      <c r="L74" s="1"/>
      <c r="M74" s="1"/>
      <c r="N74" s="1"/>
      <c r="O74" s="1"/>
      <c r="P74" s="1"/>
      <c r="Q74" s="1"/>
      <c r="R74" s="7">
        <f>R72+R73</f>
        <v>28.357731851213991</v>
      </c>
      <c r="S74" s="9">
        <f>S72+S73</f>
        <v>13.759379303895214</v>
      </c>
      <c r="T74" s="1"/>
      <c r="U74" s="1"/>
      <c r="V74" s="1"/>
      <c r="W74" s="1"/>
      <c r="X74" s="1"/>
      <c r="Y74" s="1"/>
      <c r="Z74" s="1"/>
    </row>
    <row r="75" spans="1:27">
      <c r="A75" s="8" t="s">
        <v>6</v>
      </c>
      <c r="B75" s="1"/>
      <c r="C75" s="10">
        <f>C72-C73</f>
        <v>203.55271849555621</v>
      </c>
      <c r="D75" s="1"/>
      <c r="E75" s="7">
        <f>E72-E73</f>
        <v>0.37724348036184163</v>
      </c>
      <c r="F75" s="1"/>
      <c r="G75" s="1"/>
      <c r="H75" s="1"/>
      <c r="I75" s="1"/>
      <c r="J75" s="1"/>
      <c r="K75" s="6">
        <f>K72-K73</f>
        <v>26.143475263462413</v>
      </c>
      <c r="L75" s="1"/>
      <c r="M75" s="1"/>
      <c r="N75" s="1"/>
      <c r="O75" s="1"/>
      <c r="P75" s="1"/>
      <c r="Q75" s="1"/>
      <c r="R75" s="7">
        <f>R72-R73</f>
        <v>27.583008889526731</v>
      </c>
      <c r="S75" s="9">
        <f>S72-S73</f>
        <v>13.46973182220483</v>
      </c>
      <c r="T75" s="1"/>
      <c r="U75" s="1"/>
      <c r="V75" s="1"/>
      <c r="W75" s="1"/>
      <c r="X75" s="1"/>
      <c r="Y75" s="1"/>
      <c r="Z75" s="1"/>
    </row>
    <row r="76" spans="1:27">
      <c r="A76" s="8" t="s">
        <v>5</v>
      </c>
      <c r="B76" s="1"/>
      <c r="C76" s="1">
        <f>MAX(C12:D65)-C70</f>
        <v>0.80000000000001137</v>
      </c>
      <c r="D76" s="1"/>
      <c r="E76" s="7">
        <f>MAX(E12:I65)-E70</f>
        <v>1.9000000000000072E-2</v>
      </c>
      <c r="F76" s="1"/>
      <c r="G76" s="1"/>
      <c r="H76" s="1"/>
      <c r="I76" s="1"/>
      <c r="J76" s="1"/>
      <c r="K76" s="6">
        <f>MAX(K12:L65)-$K$70</f>
        <v>1.0600000000000023</v>
      </c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7">
      <c r="A77" s="8" t="s">
        <v>4</v>
      </c>
      <c r="B77" s="1"/>
      <c r="C77" s="1">
        <f>MIN(C12:D65)-C70</f>
        <v>-0.19999999999998863</v>
      </c>
      <c r="D77" s="1"/>
      <c r="E77" s="7">
        <f>MIN(E12:I65)-E70</f>
        <v>-2.0999999999999963E-2</v>
      </c>
      <c r="F77" s="1"/>
      <c r="G77" s="1"/>
      <c r="H77" s="1"/>
      <c r="I77" s="1"/>
      <c r="J77" s="1"/>
      <c r="K77" s="6">
        <f>MIN(K12:K24)-K70</f>
        <v>0.69000000000000128</v>
      </c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7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7" ht="15" thickBot="1">
      <c r="A79" s="1" t="s">
        <v>3</v>
      </c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7">
      <c r="A80" s="1">
        <v>0.35</v>
      </c>
      <c r="B80" s="1"/>
      <c r="C80" s="5" t="s">
        <v>2</v>
      </c>
      <c r="D80" s="5" t="s">
        <v>1</v>
      </c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>
      <c r="A81" s="1">
        <v>0.36</v>
      </c>
      <c r="B81" s="1"/>
      <c r="C81" s="4">
        <v>0.35</v>
      </c>
      <c r="D81" s="3">
        <v>0</v>
      </c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>
      <c r="A82" s="1">
        <v>0.37</v>
      </c>
      <c r="B82" s="1"/>
      <c r="C82" s="4">
        <v>0.36</v>
      </c>
      <c r="D82" s="3">
        <v>2</v>
      </c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>
      <c r="A83" s="1">
        <v>0.38</v>
      </c>
      <c r="B83" s="1"/>
      <c r="C83" s="4">
        <v>0.37</v>
      </c>
      <c r="D83" s="3">
        <v>19</v>
      </c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>
      <c r="A84" s="1">
        <v>0.39</v>
      </c>
      <c r="B84" s="1"/>
      <c r="C84" s="4">
        <v>0.38</v>
      </c>
      <c r="D84" s="3">
        <v>122</v>
      </c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>
      <c r="A85" s="1">
        <v>0.4</v>
      </c>
      <c r="B85" s="1"/>
      <c r="C85" s="4">
        <v>0.39</v>
      </c>
      <c r="D85" s="3">
        <v>123</v>
      </c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>
      <c r="A86" s="1"/>
      <c r="B86" s="1"/>
      <c r="C86" s="4">
        <v>0.4</v>
      </c>
      <c r="D86" s="3">
        <v>4</v>
      </c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" thickBot="1">
      <c r="A87" s="1"/>
      <c r="B87" s="1"/>
      <c r="C87" s="2" t="s">
        <v>0</v>
      </c>
      <c r="D87" s="2">
        <v>0</v>
      </c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</sheetData>
  <dataConsolidate/>
  <mergeCells count="9">
    <mergeCell ref="Q68:R68"/>
    <mergeCell ref="S68:T68"/>
    <mergeCell ref="M9:P9"/>
    <mergeCell ref="E9:I9"/>
    <mergeCell ref="C9:D9"/>
    <mergeCell ref="K9:L9"/>
    <mergeCell ref="E68:F68"/>
    <mergeCell ref="K68:L68"/>
    <mergeCell ref="C68:D68"/>
  </mergeCells>
  <phoneticPr fontId="16" type="noConversion"/>
  <pageMargins left="0.2" right="0.2" top="0.5" bottom="0.5" header="0.3" footer="0.3"/>
  <pageSetup orientation="landscape" horizontalDpi="200" verticalDpi="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7"/>
  <sheetViews>
    <sheetView topLeftCell="A8" zoomScale="70" zoomScaleNormal="70" zoomScalePageLayoutView="70" workbookViewId="0">
      <selection activeCell="AC32" sqref="AC32"/>
    </sheetView>
  </sheetViews>
  <sheetFormatPr baseColWidth="10" defaultColWidth="8.83203125" defaultRowHeight="14" x14ac:dyDescent="0"/>
  <cols>
    <col min="1" max="1" width="6.33203125" style="1" customWidth="1"/>
    <col min="2" max="2" width="16.1640625" style="1" customWidth="1"/>
    <col min="3" max="4" width="5.1640625" style="1" customWidth="1"/>
    <col min="5" max="9" width="6.83203125" style="1" customWidth="1"/>
    <col min="10" max="10" width="6.83203125" style="1" bestFit="1" customWidth="1"/>
    <col min="11" max="12" width="6.83203125" style="1" customWidth="1"/>
    <col min="13" max="16" width="3.6640625" style="1" customWidth="1"/>
    <col min="17" max="17" width="8.1640625" style="1" customWidth="1"/>
    <col min="18" max="18" width="5.5" style="1" customWidth="1"/>
    <col min="19" max="19" width="7.5" style="1" customWidth="1"/>
    <col min="20" max="20" width="9.83203125" style="1" customWidth="1"/>
    <col min="21" max="16384" width="8.83203125" style="1"/>
  </cols>
  <sheetData>
    <row r="1" spans="1:28">
      <c r="A1" s="1" t="s">
        <v>49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8"/>
      <c r="S1" s="78"/>
      <c r="T1" s="78"/>
    </row>
    <row r="2" spans="1:28">
      <c r="A2" s="1" t="s">
        <v>48</v>
      </c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8"/>
      <c r="S2" s="78"/>
      <c r="T2" s="78"/>
    </row>
    <row r="3" spans="1:28">
      <c r="A3" s="1" t="s">
        <v>47</v>
      </c>
      <c r="B3" s="79"/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  <c r="R3" s="78"/>
      <c r="S3" s="78"/>
      <c r="T3" s="78"/>
    </row>
    <row r="4" spans="1:28">
      <c r="B4" s="79"/>
      <c r="C4" s="79"/>
      <c r="D4" s="79"/>
      <c r="E4" s="79"/>
      <c r="F4" s="79"/>
      <c r="G4" s="79"/>
      <c r="H4" s="79"/>
      <c r="I4" s="79"/>
      <c r="J4" s="79"/>
      <c r="K4" s="79"/>
      <c r="L4" s="79"/>
      <c r="M4" s="79"/>
      <c r="N4" s="79"/>
      <c r="O4" s="79"/>
      <c r="P4" s="79"/>
      <c r="Q4" s="79"/>
      <c r="R4" s="78"/>
      <c r="S4" s="78"/>
      <c r="T4" s="78"/>
    </row>
    <row r="5" spans="1:28">
      <c r="B5" s="79" t="s">
        <v>46</v>
      </c>
      <c r="C5" s="79" t="s">
        <v>45</v>
      </c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8"/>
      <c r="S5" s="78"/>
      <c r="T5" s="78"/>
    </row>
    <row r="6" spans="1:28">
      <c r="A6" s="1" t="s">
        <v>86</v>
      </c>
      <c r="B6" s="12">
        <v>0.04</v>
      </c>
      <c r="C6" s="1">
        <f>B6*25.4</f>
        <v>1.016</v>
      </c>
      <c r="D6" s="79"/>
      <c r="E6" s="79"/>
      <c r="F6" s="79"/>
      <c r="G6" s="79"/>
      <c r="H6" s="80">
        <f>MIN(E13:J36)</f>
        <v>0.95</v>
      </c>
      <c r="I6" s="80">
        <f>MIN(E13:J26,E28:J36)</f>
        <v>0.99</v>
      </c>
      <c r="J6" s="79">
        <f>MAX(E12:J36)</f>
        <v>1.07</v>
      </c>
      <c r="K6" s="79"/>
      <c r="L6" s="79"/>
      <c r="M6" s="79"/>
      <c r="N6" s="79"/>
      <c r="O6" s="79"/>
      <c r="P6" s="79"/>
      <c r="Q6" s="79"/>
      <c r="R6" s="78"/>
      <c r="S6" s="78"/>
      <c r="T6" s="78"/>
    </row>
    <row r="7" spans="1:28">
      <c r="B7" s="12"/>
      <c r="D7" s="79"/>
      <c r="E7" s="79"/>
      <c r="F7" s="79"/>
      <c r="G7" s="79"/>
      <c r="H7" s="79"/>
      <c r="I7" s="79"/>
      <c r="J7" s="79"/>
      <c r="K7" s="79"/>
      <c r="L7" s="79"/>
      <c r="M7" s="79"/>
      <c r="N7" s="79"/>
      <c r="O7" s="79"/>
      <c r="P7" s="79"/>
      <c r="Q7" s="79"/>
      <c r="R7" s="78"/>
      <c r="S7" s="78"/>
      <c r="T7" s="78"/>
    </row>
    <row r="8" spans="1:28">
      <c r="B8" s="79"/>
      <c r="C8" s="79"/>
      <c r="D8" s="79"/>
      <c r="E8" s="79"/>
      <c r="F8" s="79"/>
      <c r="G8" s="79"/>
      <c r="H8" s="79"/>
      <c r="I8" s="79"/>
      <c r="J8" s="79"/>
      <c r="K8" s="79"/>
      <c r="L8" s="79"/>
      <c r="M8" s="79"/>
      <c r="N8" s="79"/>
      <c r="O8" s="79"/>
      <c r="P8" s="79"/>
      <c r="Q8" s="79"/>
      <c r="R8" s="78"/>
      <c r="S8" s="78"/>
      <c r="T8" s="78"/>
      <c r="V8" s="221" t="s">
        <v>42</v>
      </c>
      <c r="Y8" s="221"/>
    </row>
    <row r="9" spans="1:28" ht="42">
      <c r="A9" s="71" t="s">
        <v>32</v>
      </c>
      <c r="B9" s="261" t="s">
        <v>41</v>
      </c>
      <c r="C9" s="386" t="s">
        <v>40</v>
      </c>
      <c r="D9" s="387"/>
      <c r="E9" s="385" t="s">
        <v>39</v>
      </c>
      <c r="F9" s="385"/>
      <c r="G9" s="385"/>
      <c r="H9" s="385"/>
      <c r="I9" s="385"/>
      <c r="J9" s="75"/>
      <c r="K9" s="386" t="s">
        <v>38</v>
      </c>
      <c r="L9" s="387"/>
      <c r="M9" s="386" t="s">
        <v>37</v>
      </c>
      <c r="N9" s="384"/>
      <c r="O9" s="384"/>
      <c r="P9" s="384"/>
      <c r="Q9" s="74" t="s">
        <v>36</v>
      </c>
      <c r="R9" s="204" t="s">
        <v>70</v>
      </c>
      <c r="S9" s="203" t="s">
        <v>69</v>
      </c>
      <c r="T9" s="220" t="s">
        <v>33</v>
      </c>
      <c r="V9" s="19" t="s">
        <v>32</v>
      </c>
      <c r="W9" s="253" t="s">
        <v>58</v>
      </c>
      <c r="X9" s="69" t="s">
        <v>31</v>
      </c>
      <c r="Y9" s="68" t="s">
        <v>30</v>
      </c>
      <c r="Z9" s="19" t="s">
        <v>29</v>
      </c>
      <c r="AA9" s="67" t="s">
        <v>51</v>
      </c>
      <c r="AB9" s="161" t="s">
        <v>27</v>
      </c>
    </row>
    <row r="10" spans="1:28">
      <c r="A10" s="12"/>
      <c r="B10" s="187"/>
      <c r="C10" s="177">
        <v>1</v>
      </c>
      <c r="D10" s="187">
        <v>2</v>
      </c>
      <c r="E10" s="219">
        <v>1</v>
      </c>
      <c r="F10" s="218">
        <v>2</v>
      </c>
      <c r="G10" s="218">
        <v>3</v>
      </c>
      <c r="H10" s="218">
        <v>4</v>
      </c>
      <c r="I10" s="218">
        <v>5</v>
      </c>
      <c r="J10" s="217">
        <v>6</v>
      </c>
      <c r="K10" s="219">
        <v>1</v>
      </c>
      <c r="L10" s="217">
        <v>2</v>
      </c>
      <c r="M10" s="219">
        <v>1</v>
      </c>
      <c r="N10" s="218">
        <v>2</v>
      </c>
      <c r="O10" s="218">
        <v>3</v>
      </c>
      <c r="P10" s="218">
        <v>4</v>
      </c>
      <c r="Q10" s="217"/>
      <c r="R10" s="216"/>
      <c r="S10" s="215"/>
      <c r="T10" s="214"/>
      <c r="V10" s="35"/>
      <c r="W10" s="35"/>
      <c r="X10" s="52"/>
      <c r="Y10" s="59"/>
      <c r="Z10" s="59"/>
      <c r="AA10" s="35"/>
    </row>
    <row r="11" spans="1:28">
      <c r="A11" s="12"/>
      <c r="B11" s="187"/>
      <c r="C11" s="177"/>
      <c r="D11" s="187"/>
      <c r="E11" s="122"/>
      <c r="F11" s="47"/>
      <c r="G11" s="47"/>
      <c r="H11" s="47"/>
      <c r="I11" s="47"/>
      <c r="J11" s="121"/>
      <c r="K11" s="177"/>
      <c r="L11" s="187"/>
      <c r="M11" s="177"/>
      <c r="N11" s="55"/>
      <c r="O11" s="55"/>
      <c r="P11" s="55"/>
      <c r="Q11" s="187"/>
      <c r="R11" s="37"/>
      <c r="S11" s="53"/>
      <c r="T11" s="35"/>
      <c r="V11" s="35"/>
      <c r="W11" s="35"/>
      <c r="X11" s="52"/>
      <c r="Y11" s="35"/>
      <c r="Z11" s="35"/>
      <c r="AA11" s="35"/>
    </row>
    <row r="12" spans="1:28">
      <c r="A12" s="25">
        <v>0</v>
      </c>
      <c r="B12" s="123" t="s">
        <v>91</v>
      </c>
      <c r="C12" s="41">
        <v>204</v>
      </c>
      <c r="D12" s="123">
        <v>204</v>
      </c>
      <c r="E12" s="41">
        <v>0.95</v>
      </c>
      <c r="F12" s="164">
        <v>0.95</v>
      </c>
      <c r="G12" s="164">
        <v>0.96</v>
      </c>
      <c r="H12" s="164">
        <v>0.96</v>
      </c>
      <c r="I12" s="45">
        <v>0.95</v>
      </c>
      <c r="J12" s="123">
        <v>0.95</v>
      </c>
      <c r="K12" s="260">
        <v>26.1</v>
      </c>
      <c r="L12" s="178">
        <v>26.8</v>
      </c>
      <c r="M12" s="233"/>
      <c r="N12" s="232"/>
      <c r="O12" s="232"/>
      <c r="P12" s="231"/>
      <c r="Q12" s="236" t="s">
        <v>19</v>
      </c>
      <c r="R12" s="259">
        <v>70.599999999999994</v>
      </c>
      <c r="S12" s="36">
        <f t="shared" ref="S12:S36" si="0">R12/(AVERAGE(C12:D12)*AVERAGE(E12:J12)*AVERAGE(K12:L12)*0.001)</f>
        <v>13.724738510683132</v>
      </c>
      <c r="T12" s="35">
        <v>1</v>
      </c>
      <c r="V12" s="254">
        <v>0</v>
      </c>
      <c r="W12" s="254">
        <f t="shared" ref="W12:W36" si="1">MAX(E12:J12)-MIN(E12:J12)</f>
        <v>1.0000000000000009E-2</v>
      </c>
      <c r="X12" s="35">
        <f t="shared" ref="X12:X36" si="2">IF(OR(ABS(E12-$C$6)&gt;($C$6*0.1),ABS(F12-$C$6)&gt;($C$6*0.1),ABS(G12-$C$6)&gt;($C$6*0.1),ABS(H12-$C$6)&gt;($C$6*0.1),ABS(I12-$C$6)&gt;($C$6*0.1),ABS(J12-$C$6)&gt;($C$6*0.1)),1,0)</f>
        <v>0</v>
      </c>
      <c r="Y12" s="35">
        <v>0</v>
      </c>
      <c r="Z12" s="34">
        <v>0</v>
      </c>
      <c r="AA12" s="35">
        <f t="shared" ref="AA12:AA36" si="3">IF(OR(M12="Y",N12="Y",O12="Y",P12="Y"),1,0)</f>
        <v>0</v>
      </c>
    </row>
    <row r="13" spans="1:28">
      <c r="A13" s="12">
        <v>1</v>
      </c>
      <c r="B13" s="187"/>
      <c r="C13" s="213">
        <v>204</v>
      </c>
      <c r="D13" s="182">
        <v>204</v>
      </c>
      <c r="E13" s="122">
        <v>1</v>
      </c>
      <c r="F13" s="47">
        <v>1</v>
      </c>
      <c r="G13" s="47">
        <v>1</v>
      </c>
      <c r="H13" s="47">
        <v>1.01</v>
      </c>
      <c r="I13" s="47">
        <v>1</v>
      </c>
      <c r="J13" s="121">
        <v>1.02</v>
      </c>
      <c r="K13" s="166">
        <v>26.16</v>
      </c>
      <c r="L13" s="165">
        <v>26.05</v>
      </c>
      <c r="M13" s="238"/>
      <c r="N13" s="237" t="s">
        <v>20</v>
      </c>
      <c r="O13" s="237"/>
      <c r="P13" s="231"/>
      <c r="Q13" s="230"/>
      <c r="R13" s="37">
        <v>72</v>
      </c>
      <c r="S13" s="36">
        <f t="shared" si="0"/>
        <v>13.452796407565247</v>
      </c>
      <c r="T13" s="35">
        <v>3</v>
      </c>
      <c r="V13" s="35">
        <v>1</v>
      </c>
      <c r="W13" s="254">
        <f t="shared" si="1"/>
        <v>2.0000000000000018E-2</v>
      </c>
      <c r="X13" s="35">
        <f t="shared" si="2"/>
        <v>0</v>
      </c>
      <c r="Y13" s="35">
        <v>0</v>
      </c>
      <c r="Z13" s="34">
        <v>0</v>
      </c>
      <c r="AA13" s="35">
        <f t="shared" si="3"/>
        <v>0</v>
      </c>
    </row>
    <row r="14" spans="1:28">
      <c r="A14" s="12">
        <f t="shared" ref="A14:A36" si="4">A13+1</f>
        <v>2</v>
      </c>
      <c r="B14" s="187"/>
      <c r="C14" s="213">
        <v>204</v>
      </c>
      <c r="D14" s="182">
        <v>204</v>
      </c>
      <c r="E14" s="122">
        <v>1.03</v>
      </c>
      <c r="F14" s="47">
        <v>1.05</v>
      </c>
      <c r="G14" s="47">
        <v>1.04</v>
      </c>
      <c r="H14" s="47">
        <v>1.04</v>
      </c>
      <c r="I14" s="47">
        <v>1.03</v>
      </c>
      <c r="J14" s="121">
        <v>1.03</v>
      </c>
      <c r="K14" s="166">
        <v>25.72</v>
      </c>
      <c r="L14" s="165">
        <v>25.89</v>
      </c>
      <c r="M14" s="238"/>
      <c r="N14" s="237"/>
      <c r="O14" s="237"/>
      <c r="P14" s="231"/>
      <c r="Q14" s="236" t="s">
        <v>21</v>
      </c>
      <c r="R14" s="37">
        <v>73.5</v>
      </c>
      <c r="S14" s="36">
        <f t="shared" si="0"/>
        <v>13.468343181593541</v>
      </c>
      <c r="T14" s="35">
        <v>3</v>
      </c>
      <c r="V14" s="35">
        <f t="shared" ref="V14:V36" si="5">V13+1</f>
        <v>2</v>
      </c>
      <c r="W14" s="254">
        <f t="shared" si="1"/>
        <v>2.0000000000000018E-2</v>
      </c>
      <c r="X14" s="35">
        <f t="shared" si="2"/>
        <v>0</v>
      </c>
      <c r="Y14" s="35">
        <v>0</v>
      </c>
      <c r="Z14" s="34">
        <v>0</v>
      </c>
      <c r="AA14" s="35">
        <f t="shared" si="3"/>
        <v>0</v>
      </c>
    </row>
    <row r="15" spans="1:28">
      <c r="A15" s="258">
        <f t="shared" si="4"/>
        <v>3</v>
      </c>
      <c r="B15" s="187"/>
      <c r="C15" s="213">
        <v>204</v>
      </c>
      <c r="D15" s="182">
        <v>204</v>
      </c>
      <c r="E15" s="122">
        <v>1.07</v>
      </c>
      <c r="F15" s="47">
        <v>1.06</v>
      </c>
      <c r="G15" s="47">
        <v>1.06</v>
      </c>
      <c r="H15" s="47">
        <v>1.04</v>
      </c>
      <c r="I15" s="47">
        <v>1.05</v>
      </c>
      <c r="J15" s="121">
        <v>1.03</v>
      </c>
      <c r="K15" s="166">
        <v>25.93</v>
      </c>
      <c r="L15" s="165">
        <v>25.98</v>
      </c>
      <c r="M15" s="238"/>
      <c r="N15" s="237"/>
      <c r="O15" s="237" t="s">
        <v>22</v>
      </c>
      <c r="P15" s="231" t="s">
        <v>20</v>
      </c>
      <c r="Q15" s="236" t="s">
        <v>21</v>
      </c>
      <c r="R15" s="37">
        <v>74.8</v>
      </c>
      <c r="S15" s="36">
        <f t="shared" si="0"/>
        <v>13.432977532429192</v>
      </c>
      <c r="T15" s="35">
        <v>3</v>
      </c>
      <c r="V15" s="257">
        <f t="shared" si="5"/>
        <v>3</v>
      </c>
      <c r="W15" s="254">
        <f t="shared" si="1"/>
        <v>4.0000000000000036E-2</v>
      </c>
      <c r="X15" s="35">
        <f t="shared" si="2"/>
        <v>0</v>
      </c>
      <c r="Y15" s="35">
        <v>0</v>
      </c>
      <c r="Z15" s="34">
        <v>0</v>
      </c>
      <c r="AA15" s="35">
        <f t="shared" si="3"/>
        <v>1</v>
      </c>
      <c r="AB15" t="s">
        <v>90</v>
      </c>
    </row>
    <row r="16" spans="1:28">
      <c r="A16" s="12">
        <f t="shared" si="4"/>
        <v>4</v>
      </c>
      <c r="B16" s="187"/>
      <c r="C16" s="213">
        <v>204</v>
      </c>
      <c r="D16" s="182">
        <v>204</v>
      </c>
      <c r="E16" s="122">
        <v>1.03</v>
      </c>
      <c r="F16" s="47">
        <v>1.03</v>
      </c>
      <c r="G16" s="47">
        <v>1.03</v>
      </c>
      <c r="H16" s="47">
        <v>1.04</v>
      </c>
      <c r="I16" s="47">
        <v>1.03</v>
      </c>
      <c r="J16" s="121">
        <v>1.04</v>
      </c>
      <c r="K16" s="166">
        <v>25.85</v>
      </c>
      <c r="L16" s="165">
        <v>25.94</v>
      </c>
      <c r="M16" s="238"/>
      <c r="N16" s="237"/>
      <c r="O16" s="237"/>
      <c r="P16" s="231"/>
      <c r="Q16" s="236" t="s">
        <v>21</v>
      </c>
      <c r="R16" s="37">
        <v>73.2</v>
      </c>
      <c r="S16" s="36">
        <f t="shared" si="0"/>
        <v>13.409869737404705</v>
      </c>
      <c r="T16" s="35">
        <v>3</v>
      </c>
      <c r="V16" s="35">
        <f t="shared" si="5"/>
        <v>4</v>
      </c>
      <c r="W16" s="254">
        <f t="shared" si="1"/>
        <v>1.0000000000000009E-2</v>
      </c>
      <c r="X16" s="35">
        <f t="shared" si="2"/>
        <v>0</v>
      </c>
      <c r="Y16" s="35">
        <v>0</v>
      </c>
      <c r="Z16" s="34">
        <v>0</v>
      </c>
      <c r="AA16" s="35">
        <f t="shared" si="3"/>
        <v>0</v>
      </c>
    </row>
    <row r="17" spans="1:28">
      <c r="A17" s="12">
        <f t="shared" si="4"/>
        <v>5</v>
      </c>
      <c r="B17" s="187"/>
      <c r="C17" s="213">
        <v>204</v>
      </c>
      <c r="D17" s="182">
        <v>204</v>
      </c>
      <c r="E17" s="122">
        <v>0.99</v>
      </c>
      <c r="F17" s="47">
        <v>1.01</v>
      </c>
      <c r="G17" s="47">
        <v>1</v>
      </c>
      <c r="H17" s="47">
        <v>1.01</v>
      </c>
      <c r="I17" s="47">
        <v>1</v>
      </c>
      <c r="J17" s="121">
        <v>1</v>
      </c>
      <c r="K17" s="166">
        <v>25.91</v>
      </c>
      <c r="L17" s="165">
        <v>25.65</v>
      </c>
      <c r="M17" s="238"/>
      <c r="N17" s="237"/>
      <c r="O17" s="237" t="s">
        <v>20</v>
      </c>
      <c r="P17" s="231" t="s">
        <v>22</v>
      </c>
      <c r="Q17" s="230"/>
      <c r="R17" s="37">
        <v>71</v>
      </c>
      <c r="S17" s="36">
        <f t="shared" si="0"/>
        <v>13.477894317059146</v>
      </c>
      <c r="T17" s="35">
        <v>3</v>
      </c>
      <c r="V17" s="35">
        <f t="shared" si="5"/>
        <v>5</v>
      </c>
      <c r="W17" s="254">
        <f t="shared" si="1"/>
        <v>2.0000000000000018E-2</v>
      </c>
      <c r="X17" s="35">
        <f t="shared" si="2"/>
        <v>0</v>
      </c>
      <c r="Y17" s="35">
        <v>0</v>
      </c>
      <c r="Z17" s="34">
        <v>0</v>
      </c>
      <c r="AA17" s="35">
        <f t="shared" si="3"/>
        <v>1</v>
      </c>
    </row>
    <row r="18" spans="1:28">
      <c r="A18" s="12">
        <f t="shared" si="4"/>
        <v>6</v>
      </c>
      <c r="B18" s="187"/>
      <c r="C18" s="213">
        <v>204</v>
      </c>
      <c r="D18" s="182">
        <v>204</v>
      </c>
      <c r="E18" s="122">
        <v>1.02</v>
      </c>
      <c r="F18" s="47">
        <v>1.02</v>
      </c>
      <c r="G18" s="47">
        <v>1.03</v>
      </c>
      <c r="H18" s="47">
        <v>1.03</v>
      </c>
      <c r="I18" s="47">
        <v>1.03</v>
      </c>
      <c r="J18" s="121">
        <v>1.03</v>
      </c>
      <c r="K18" s="166">
        <v>25.96</v>
      </c>
      <c r="L18" s="165">
        <v>26.01</v>
      </c>
      <c r="M18" s="238"/>
      <c r="N18" s="237"/>
      <c r="O18" s="237"/>
      <c r="P18" s="231"/>
      <c r="Q18" s="230"/>
      <c r="R18" s="37">
        <v>73.400000000000006</v>
      </c>
      <c r="S18" s="36">
        <f t="shared" si="0"/>
        <v>13.486948822945836</v>
      </c>
      <c r="T18" s="35">
        <v>3</v>
      </c>
      <c r="V18" s="35">
        <f t="shared" si="5"/>
        <v>6</v>
      </c>
      <c r="W18" s="254">
        <f t="shared" si="1"/>
        <v>1.0000000000000009E-2</v>
      </c>
      <c r="X18" s="35">
        <f t="shared" si="2"/>
        <v>0</v>
      </c>
      <c r="Y18" s="35">
        <v>0</v>
      </c>
      <c r="Z18" s="34">
        <v>0</v>
      </c>
      <c r="AA18" s="35">
        <f t="shared" si="3"/>
        <v>0</v>
      </c>
    </row>
    <row r="19" spans="1:28">
      <c r="A19" s="12">
        <f t="shared" si="4"/>
        <v>7</v>
      </c>
      <c r="B19" s="187"/>
      <c r="C19" s="213">
        <v>204</v>
      </c>
      <c r="D19" s="182">
        <v>204</v>
      </c>
      <c r="E19" s="122">
        <v>1.04</v>
      </c>
      <c r="F19" s="47">
        <v>1.04</v>
      </c>
      <c r="G19" s="47">
        <v>1.04</v>
      </c>
      <c r="H19" s="47">
        <v>1.04</v>
      </c>
      <c r="I19" s="47">
        <v>1.04</v>
      </c>
      <c r="J19" s="121">
        <v>1.04</v>
      </c>
      <c r="K19" s="166">
        <v>26.2</v>
      </c>
      <c r="L19" s="165">
        <v>26</v>
      </c>
      <c r="M19" s="238" t="s">
        <v>20</v>
      </c>
      <c r="N19" s="237"/>
      <c r="O19" s="237"/>
      <c r="P19" s="231" t="s">
        <v>20</v>
      </c>
      <c r="Q19" s="230"/>
      <c r="R19" s="37">
        <v>74.400000000000006</v>
      </c>
      <c r="S19" s="36">
        <f t="shared" si="0"/>
        <v>13.435966782822767</v>
      </c>
      <c r="T19" s="35">
        <v>3</v>
      </c>
      <c r="V19" s="35">
        <f t="shared" si="5"/>
        <v>7</v>
      </c>
      <c r="W19" s="254">
        <f t="shared" si="1"/>
        <v>0</v>
      </c>
      <c r="X19" s="35">
        <f t="shared" si="2"/>
        <v>0</v>
      </c>
      <c r="Y19" s="35">
        <v>0</v>
      </c>
      <c r="Z19" s="34">
        <v>0</v>
      </c>
      <c r="AA19" s="35">
        <f t="shared" si="3"/>
        <v>0</v>
      </c>
    </row>
    <row r="20" spans="1:28">
      <c r="A20" s="12">
        <f t="shared" si="4"/>
        <v>8</v>
      </c>
      <c r="B20" s="187"/>
      <c r="C20" s="213">
        <v>204</v>
      </c>
      <c r="D20" s="182">
        <v>204</v>
      </c>
      <c r="E20" s="122">
        <v>1.05</v>
      </c>
      <c r="F20" s="47">
        <v>1.05</v>
      </c>
      <c r="G20" s="47">
        <v>1.04</v>
      </c>
      <c r="H20" s="47">
        <v>1.04</v>
      </c>
      <c r="I20" s="47">
        <v>1.03</v>
      </c>
      <c r="J20" s="121">
        <v>1.03</v>
      </c>
      <c r="K20" s="166">
        <v>26.1</v>
      </c>
      <c r="L20" s="165">
        <v>26.04</v>
      </c>
      <c r="M20" s="238"/>
      <c r="N20" s="237"/>
      <c r="O20" s="237"/>
      <c r="P20" s="231"/>
      <c r="Q20" s="236" t="s">
        <v>19</v>
      </c>
      <c r="R20" s="37">
        <v>74.099999999999994</v>
      </c>
      <c r="S20" s="36">
        <f t="shared" si="0"/>
        <v>13.397188564723931</v>
      </c>
      <c r="T20" s="35">
        <v>3</v>
      </c>
      <c r="V20" s="35">
        <f t="shared" si="5"/>
        <v>8</v>
      </c>
      <c r="W20" s="254">
        <f t="shared" si="1"/>
        <v>2.0000000000000018E-2</v>
      </c>
      <c r="X20" s="35">
        <f t="shared" si="2"/>
        <v>0</v>
      </c>
      <c r="Y20" s="35">
        <v>0</v>
      </c>
      <c r="Z20" s="34">
        <v>0</v>
      </c>
      <c r="AA20" s="35">
        <f t="shared" si="3"/>
        <v>0</v>
      </c>
    </row>
    <row r="21" spans="1:28">
      <c r="A21" s="12">
        <f t="shared" si="4"/>
        <v>9</v>
      </c>
      <c r="B21" s="187"/>
      <c r="C21" s="213">
        <v>204</v>
      </c>
      <c r="D21" s="182">
        <v>204</v>
      </c>
      <c r="E21" s="122">
        <v>1</v>
      </c>
      <c r="F21" s="47">
        <v>0.99</v>
      </c>
      <c r="G21" s="47">
        <v>1</v>
      </c>
      <c r="H21" s="47">
        <v>1</v>
      </c>
      <c r="I21" s="47">
        <v>1</v>
      </c>
      <c r="J21" s="121">
        <v>1</v>
      </c>
      <c r="K21" s="166">
        <v>25.88</v>
      </c>
      <c r="L21" s="165">
        <v>26</v>
      </c>
      <c r="M21" s="238"/>
      <c r="N21" s="237"/>
      <c r="O21" s="237"/>
      <c r="P21" s="231"/>
      <c r="Q21" s="230"/>
      <c r="R21" s="37">
        <v>71.099999999999994</v>
      </c>
      <c r="S21" s="36">
        <f t="shared" si="0"/>
        <v>13.458414181617494</v>
      </c>
      <c r="T21" s="35">
        <v>3</v>
      </c>
      <c r="V21" s="35">
        <f t="shared" si="5"/>
        <v>9</v>
      </c>
      <c r="W21" s="254">
        <f t="shared" si="1"/>
        <v>1.0000000000000009E-2</v>
      </c>
      <c r="X21" s="35">
        <f t="shared" si="2"/>
        <v>0</v>
      </c>
      <c r="Y21" s="35">
        <v>0</v>
      </c>
      <c r="Z21" s="34">
        <v>0</v>
      </c>
      <c r="AA21" s="35">
        <f t="shared" si="3"/>
        <v>0</v>
      </c>
    </row>
    <row r="22" spans="1:28">
      <c r="A22" s="12">
        <f t="shared" si="4"/>
        <v>10</v>
      </c>
      <c r="B22" s="187"/>
      <c r="C22" s="213">
        <v>204</v>
      </c>
      <c r="D22" s="182">
        <v>204</v>
      </c>
      <c r="E22" s="122">
        <v>1.01</v>
      </c>
      <c r="F22" s="47">
        <v>1.03</v>
      </c>
      <c r="G22" s="47">
        <v>1.03</v>
      </c>
      <c r="H22" s="47">
        <v>1.03</v>
      </c>
      <c r="I22" s="47">
        <v>1.03</v>
      </c>
      <c r="J22" s="121">
        <v>1.03</v>
      </c>
      <c r="K22" s="166">
        <v>25.95</v>
      </c>
      <c r="L22" s="165">
        <v>25.91</v>
      </c>
      <c r="M22" s="238" t="s">
        <v>20</v>
      </c>
      <c r="N22" s="237" t="s">
        <v>22</v>
      </c>
      <c r="O22" s="237"/>
      <c r="P22" s="231"/>
      <c r="Q22" s="236" t="s">
        <v>21</v>
      </c>
      <c r="R22" s="37">
        <v>73.5</v>
      </c>
      <c r="S22" s="36">
        <f t="shared" si="0"/>
        <v>13.533969490050339</v>
      </c>
      <c r="T22" s="35">
        <v>3</v>
      </c>
      <c r="V22" s="35">
        <f t="shared" si="5"/>
        <v>10</v>
      </c>
      <c r="W22" s="254">
        <f t="shared" si="1"/>
        <v>2.0000000000000018E-2</v>
      </c>
      <c r="X22" s="35">
        <f t="shared" si="2"/>
        <v>0</v>
      </c>
      <c r="Y22" s="35">
        <v>0</v>
      </c>
      <c r="Z22" s="34">
        <v>0</v>
      </c>
      <c r="AA22" s="35">
        <f t="shared" si="3"/>
        <v>1</v>
      </c>
    </row>
    <row r="23" spans="1:28">
      <c r="A23" s="44">
        <f t="shared" si="4"/>
        <v>11</v>
      </c>
      <c r="B23" s="187"/>
      <c r="C23" s="213">
        <v>204</v>
      </c>
      <c r="D23" s="182">
        <v>204</v>
      </c>
      <c r="E23" s="122">
        <v>1.03</v>
      </c>
      <c r="F23" s="47">
        <v>1.03</v>
      </c>
      <c r="G23" s="47">
        <v>1.03</v>
      </c>
      <c r="H23" s="47">
        <v>1.03</v>
      </c>
      <c r="I23" s="47">
        <v>1.03</v>
      </c>
      <c r="J23" s="121">
        <v>1.03</v>
      </c>
      <c r="K23" s="166">
        <v>25.94</v>
      </c>
      <c r="L23" s="165">
        <v>25.94</v>
      </c>
      <c r="M23" s="238"/>
      <c r="N23" s="237" t="s">
        <v>22</v>
      </c>
      <c r="O23" s="237" t="s">
        <v>22</v>
      </c>
      <c r="P23" s="231" t="s">
        <v>22</v>
      </c>
      <c r="Q23" s="236" t="s">
        <v>19</v>
      </c>
      <c r="R23" s="37">
        <v>73.2</v>
      </c>
      <c r="S23" s="36">
        <f t="shared" si="0"/>
        <v>13.429929015119457</v>
      </c>
      <c r="T23" s="35">
        <v>3</v>
      </c>
      <c r="V23" s="172">
        <f t="shared" si="5"/>
        <v>11</v>
      </c>
      <c r="W23" s="254">
        <f t="shared" si="1"/>
        <v>0</v>
      </c>
      <c r="X23" s="35">
        <f t="shared" si="2"/>
        <v>0</v>
      </c>
      <c r="Y23" s="35">
        <v>0</v>
      </c>
      <c r="Z23" s="34">
        <v>0</v>
      </c>
      <c r="AA23" s="35">
        <f t="shared" si="3"/>
        <v>1</v>
      </c>
      <c r="AB23" t="s">
        <v>61</v>
      </c>
    </row>
    <row r="24" spans="1:28">
      <c r="A24" s="12">
        <f t="shared" si="4"/>
        <v>12</v>
      </c>
      <c r="B24" s="187" t="s">
        <v>89</v>
      </c>
      <c r="C24" s="213">
        <v>204</v>
      </c>
      <c r="D24" s="182">
        <v>204</v>
      </c>
      <c r="E24" s="122">
        <v>1.01</v>
      </c>
      <c r="F24" s="47">
        <v>1.01</v>
      </c>
      <c r="G24" s="47">
        <v>1.02</v>
      </c>
      <c r="H24" s="47">
        <v>1.02</v>
      </c>
      <c r="I24" s="47">
        <v>1.02</v>
      </c>
      <c r="J24" s="121">
        <v>1.02</v>
      </c>
      <c r="K24" s="166">
        <v>26.06</v>
      </c>
      <c r="L24" s="165">
        <v>26.1</v>
      </c>
      <c r="M24" s="238" t="s">
        <v>22</v>
      </c>
      <c r="N24" s="237" t="s">
        <v>22</v>
      </c>
      <c r="O24" s="237"/>
      <c r="P24" s="231"/>
      <c r="Q24" s="236" t="s">
        <v>21</v>
      </c>
      <c r="R24" s="37">
        <v>72.400000000000006</v>
      </c>
      <c r="S24" s="36">
        <f t="shared" si="0"/>
        <v>13.385118706036174</v>
      </c>
      <c r="T24" s="35">
        <v>3</v>
      </c>
      <c r="V24" s="35">
        <f t="shared" si="5"/>
        <v>12</v>
      </c>
      <c r="W24" s="254">
        <f t="shared" si="1"/>
        <v>1.0000000000000009E-2</v>
      </c>
      <c r="X24" s="35">
        <f t="shared" si="2"/>
        <v>0</v>
      </c>
      <c r="Y24" s="35">
        <v>0</v>
      </c>
      <c r="Z24" s="34">
        <v>0</v>
      </c>
      <c r="AA24" s="35">
        <f t="shared" si="3"/>
        <v>1</v>
      </c>
    </row>
    <row r="25" spans="1:28">
      <c r="A25" s="12">
        <f t="shared" si="4"/>
        <v>13</v>
      </c>
      <c r="B25" s="187"/>
      <c r="C25" s="213">
        <v>204</v>
      </c>
      <c r="D25" s="182">
        <v>204</v>
      </c>
      <c r="E25" s="122">
        <v>1.05</v>
      </c>
      <c r="F25" s="47">
        <v>1.05</v>
      </c>
      <c r="G25" s="47">
        <v>1.04</v>
      </c>
      <c r="H25" s="47">
        <v>1.03</v>
      </c>
      <c r="I25" s="47">
        <v>1.03</v>
      </c>
      <c r="J25" s="121">
        <v>1.03</v>
      </c>
      <c r="K25" s="166">
        <v>25.98</v>
      </c>
      <c r="L25" s="165">
        <v>25.97</v>
      </c>
      <c r="M25" s="238" t="s">
        <v>20</v>
      </c>
      <c r="N25" s="237"/>
      <c r="O25" s="237" t="s">
        <v>20</v>
      </c>
      <c r="P25" s="231" t="s">
        <v>20</v>
      </c>
      <c r="Q25" s="236" t="s">
        <v>19</v>
      </c>
      <c r="R25" s="37">
        <v>74</v>
      </c>
      <c r="S25" s="36">
        <f t="shared" si="0"/>
        <v>13.449594780975618</v>
      </c>
      <c r="T25" s="35">
        <v>3</v>
      </c>
      <c r="V25" s="35">
        <f t="shared" si="5"/>
        <v>13</v>
      </c>
      <c r="W25" s="254">
        <f t="shared" si="1"/>
        <v>2.0000000000000018E-2</v>
      </c>
      <c r="X25" s="35">
        <f t="shared" si="2"/>
        <v>0</v>
      </c>
      <c r="Y25" s="35">
        <v>0</v>
      </c>
      <c r="Z25" s="34">
        <v>0</v>
      </c>
      <c r="AA25" s="35">
        <f t="shared" si="3"/>
        <v>0</v>
      </c>
    </row>
    <row r="26" spans="1:28">
      <c r="A26" s="12">
        <f t="shared" si="4"/>
        <v>14</v>
      </c>
      <c r="B26" s="187"/>
      <c r="C26" s="213">
        <v>204</v>
      </c>
      <c r="D26" s="182">
        <v>204</v>
      </c>
      <c r="E26" s="122">
        <v>1.04</v>
      </c>
      <c r="F26" s="47">
        <v>1.04</v>
      </c>
      <c r="G26" s="47">
        <v>1.04</v>
      </c>
      <c r="H26" s="47">
        <v>1.05</v>
      </c>
      <c r="I26" s="47">
        <v>1.05</v>
      </c>
      <c r="J26" s="121">
        <v>1.05</v>
      </c>
      <c r="K26" s="166">
        <v>26.01</v>
      </c>
      <c r="L26" s="165">
        <v>26.15</v>
      </c>
      <c r="M26" s="238"/>
      <c r="N26" s="237"/>
      <c r="O26" s="237"/>
      <c r="P26" s="231"/>
      <c r="Q26" s="236" t="s">
        <v>19</v>
      </c>
      <c r="R26" s="37">
        <v>75</v>
      </c>
      <c r="S26" s="36">
        <f t="shared" si="0"/>
        <v>13.48985304046179</v>
      </c>
      <c r="T26" s="35">
        <v>3</v>
      </c>
      <c r="V26" s="35">
        <f t="shared" si="5"/>
        <v>14</v>
      </c>
      <c r="W26" s="254">
        <f t="shared" si="1"/>
        <v>1.0000000000000009E-2</v>
      </c>
      <c r="X26" s="35">
        <f t="shared" si="2"/>
        <v>0</v>
      </c>
      <c r="Y26" s="35">
        <v>0</v>
      </c>
      <c r="Z26" s="34">
        <v>0</v>
      </c>
      <c r="AA26" s="35">
        <f t="shared" si="3"/>
        <v>0</v>
      </c>
    </row>
    <row r="27" spans="1:28">
      <c r="A27" s="258">
        <f t="shared" si="4"/>
        <v>15</v>
      </c>
      <c r="B27" s="187"/>
      <c r="C27" s="213">
        <v>204</v>
      </c>
      <c r="D27" s="182">
        <v>204</v>
      </c>
      <c r="E27" s="122">
        <v>0.95</v>
      </c>
      <c r="F27" s="47">
        <v>0.98</v>
      </c>
      <c r="G27" s="47">
        <v>0.97</v>
      </c>
      <c r="H27" s="47">
        <v>0.98</v>
      </c>
      <c r="I27" s="47">
        <v>0.98</v>
      </c>
      <c r="J27" s="121">
        <v>0.99</v>
      </c>
      <c r="K27" s="166">
        <v>25.97</v>
      </c>
      <c r="L27" s="165">
        <v>25.83</v>
      </c>
      <c r="M27" s="238"/>
      <c r="N27" s="237"/>
      <c r="O27" s="237"/>
      <c r="P27" s="231"/>
      <c r="Q27" s="230"/>
      <c r="R27" s="37">
        <v>69.8</v>
      </c>
      <c r="S27" s="36">
        <f t="shared" si="0"/>
        <v>13.549425314131195</v>
      </c>
      <c r="T27" s="35">
        <v>3</v>
      </c>
      <c r="V27" s="257">
        <f t="shared" si="5"/>
        <v>15</v>
      </c>
      <c r="W27" s="254">
        <f t="shared" si="1"/>
        <v>4.0000000000000036E-2</v>
      </c>
      <c r="X27" s="35">
        <f t="shared" si="2"/>
        <v>0</v>
      </c>
      <c r="Y27" s="35">
        <v>0</v>
      </c>
      <c r="Z27" s="34">
        <v>0</v>
      </c>
      <c r="AA27" s="35">
        <f t="shared" si="3"/>
        <v>0</v>
      </c>
    </row>
    <row r="28" spans="1:28">
      <c r="A28" s="12">
        <f t="shared" si="4"/>
        <v>16</v>
      </c>
      <c r="B28" s="187"/>
      <c r="C28" s="213">
        <v>204</v>
      </c>
      <c r="D28" s="182">
        <v>204</v>
      </c>
      <c r="E28" s="122">
        <v>1.04</v>
      </c>
      <c r="F28" s="47">
        <v>1.04</v>
      </c>
      <c r="G28" s="47">
        <v>1.04</v>
      </c>
      <c r="H28" s="47">
        <v>1.04</v>
      </c>
      <c r="I28" s="47">
        <v>1.03</v>
      </c>
      <c r="J28" s="121">
        <v>1.03</v>
      </c>
      <c r="K28" s="166">
        <v>26.03</v>
      </c>
      <c r="L28" s="165">
        <v>26</v>
      </c>
      <c r="M28" s="238"/>
      <c r="N28" s="237"/>
      <c r="O28" s="237"/>
      <c r="P28" s="231"/>
      <c r="Q28" s="230"/>
      <c r="R28" s="37">
        <v>73.599999999999994</v>
      </c>
      <c r="S28" s="36">
        <f t="shared" si="0"/>
        <v>13.377799490851126</v>
      </c>
      <c r="T28" s="35">
        <v>3</v>
      </c>
      <c r="V28" s="35">
        <f t="shared" si="5"/>
        <v>16</v>
      </c>
      <c r="W28" s="254">
        <f t="shared" si="1"/>
        <v>1.0000000000000009E-2</v>
      </c>
      <c r="X28" s="35">
        <f t="shared" si="2"/>
        <v>0</v>
      </c>
      <c r="Y28" s="35">
        <v>0</v>
      </c>
      <c r="Z28" s="34">
        <v>0</v>
      </c>
      <c r="AA28" s="35">
        <f t="shared" si="3"/>
        <v>0</v>
      </c>
    </row>
    <row r="29" spans="1:28">
      <c r="A29" s="12">
        <f t="shared" si="4"/>
        <v>17</v>
      </c>
      <c r="B29" s="54"/>
      <c r="C29" s="213">
        <v>204</v>
      </c>
      <c r="D29" s="182">
        <v>204</v>
      </c>
      <c r="E29" s="118">
        <v>1</v>
      </c>
      <c r="F29" s="42">
        <v>1.02</v>
      </c>
      <c r="G29" s="42">
        <v>1.01</v>
      </c>
      <c r="H29" s="42">
        <v>1.02</v>
      </c>
      <c r="I29" s="42">
        <v>1</v>
      </c>
      <c r="J29" s="212">
        <v>1.02</v>
      </c>
      <c r="K29" s="166">
        <v>26.15</v>
      </c>
      <c r="L29" s="165">
        <v>26</v>
      </c>
      <c r="M29" s="238"/>
      <c r="N29" s="237"/>
      <c r="O29" s="237"/>
      <c r="P29" s="231"/>
      <c r="Q29" s="230"/>
      <c r="R29" s="37">
        <v>72.599999999999994</v>
      </c>
      <c r="S29" s="36">
        <f t="shared" si="0"/>
        <v>13.491017184601249</v>
      </c>
      <c r="T29" s="35">
        <v>3</v>
      </c>
      <c r="V29" s="35">
        <f t="shared" si="5"/>
        <v>17</v>
      </c>
      <c r="W29" s="254">
        <f t="shared" si="1"/>
        <v>2.0000000000000018E-2</v>
      </c>
      <c r="X29" s="35">
        <f t="shared" si="2"/>
        <v>0</v>
      </c>
      <c r="Y29" s="35">
        <v>0</v>
      </c>
      <c r="Z29" s="34">
        <v>0</v>
      </c>
      <c r="AA29" s="35">
        <f t="shared" si="3"/>
        <v>0</v>
      </c>
    </row>
    <row r="30" spans="1:28">
      <c r="A30" s="12">
        <f t="shared" si="4"/>
        <v>18</v>
      </c>
      <c r="B30" s="54"/>
      <c r="C30" s="213">
        <v>204</v>
      </c>
      <c r="D30" s="182">
        <v>204</v>
      </c>
      <c r="E30" s="166">
        <v>1.01</v>
      </c>
      <c r="F30" s="11">
        <v>1.02</v>
      </c>
      <c r="G30" s="11">
        <v>1.02</v>
      </c>
      <c r="H30" s="11">
        <v>1.01</v>
      </c>
      <c r="I30" s="199">
        <v>1.01</v>
      </c>
      <c r="J30" s="165">
        <v>1</v>
      </c>
      <c r="K30" s="166">
        <v>26.21</v>
      </c>
      <c r="L30" s="165">
        <v>26.25</v>
      </c>
      <c r="M30" s="233"/>
      <c r="N30" s="232"/>
      <c r="O30" s="232" t="s">
        <v>20</v>
      </c>
      <c r="P30" s="231" t="s">
        <v>20</v>
      </c>
      <c r="Q30" s="236" t="s">
        <v>21</v>
      </c>
      <c r="R30" s="37">
        <v>71.8</v>
      </c>
      <c r="S30" s="36">
        <f t="shared" si="0"/>
        <v>13.263512332498742</v>
      </c>
      <c r="T30" s="35">
        <v>3</v>
      </c>
      <c r="V30" s="35">
        <f t="shared" si="5"/>
        <v>18</v>
      </c>
      <c r="W30" s="254">
        <f t="shared" si="1"/>
        <v>2.0000000000000018E-2</v>
      </c>
      <c r="X30" s="35">
        <f t="shared" si="2"/>
        <v>0</v>
      </c>
      <c r="Y30" s="35">
        <v>0</v>
      </c>
      <c r="Z30" s="34">
        <v>0</v>
      </c>
      <c r="AA30" s="35">
        <f t="shared" si="3"/>
        <v>0</v>
      </c>
    </row>
    <row r="31" spans="1:28">
      <c r="A31" s="12">
        <f t="shared" si="4"/>
        <v>19</v>
      </c>
      <c r="B31" s="54"/>
      <c r="C31" s="213">
        <v>204</v>
      </c>
      <c r="D31" s="182">
        <v>204</v>
      </c>
      <c r="E31" s="166">
        <v>1.03</v>
      </c>
      <c r="F31" s="11">
        <v>1.03</v>
      </c>
      <c r="G31" s="11">
        <v>1.03</v>
      </c>
      <c r="H31" s="11">
        <v>1.04</v>
      </c>
      <c r="I31" s="199">
        <v>1.04</v>
      </c>
      <c r="J31" s="165">
        <v>1.04</v>
      </c>
      <c r="K31" s="166">
        <v>26.02</v>
      </c>
      <c r="L31" s="165">
        <v>25.98</v>
      </c>
      <c r="M31" s="233" t="s">
        <v>20</v>
      </c>
      <c r="N31" s="232"/>
      <c r="O31" s="232" t="s">
        <v>22</v>
      </c>
      <c r="P31" s="231" t="s">
        <v>22</v>
      </c>
      <c r="Q31" s="230" t="s">
        <v>23</v>
      </c>
      <c r="R31" s="37">
        <v>73.5</v>
      </c>
      <c r="S31" s="36">
        <f t="shared" si="0"/>
        <v>13.388856099853543</v>
      </c>
      <c r="T31" s="35">
        <v>3</v>
      </c>
      <c r="V31" s="35">
        <f t="shared" si="5"/>
        <v>19</v>
      </c>
      <c r="W31" s="254">
        <f t="shared" si="1"/>
        <v>1.0000000000000009E-2</v>
      </c>
      <c r="X31" s="35">
        <f t="shared" si="2"/>
        <v>0</v>
      </c>
      <c r="Y31" s="35">
        <v>0</v>
      </c>
      <c r="Z31" s="34">
        <v>0</v>
      </c>
      <c r="AA31" s="35">
        <f t="shared" si="3"/>
        <v>1</v>
      </c>
    </row>
    <row r="32" spans="1:28">
      <c r="A32" s="12">
        <f t="shared" si="4"/>
        <v>20</v>
      </c>
      <c r="B32" s="54"/>
      <c r="C32" s="213">
        <v>204</v>
      </c>
      <c r="D32" s="182">
        <v>204</v>
      </c>
      <c r="E32" s="166">
        <v>1.07</v>
      </c>
      <c r="F32" s="11">
        <v>1.06</v>
      </c>
      <c r="G32" s="11">
        <v>1.06</v>
      </c>
      <c r="H32" s="11">
        <v>1.06</v>
      </c>
      <c r="I32" s="199">
        <v>1.05</v>
      </c>
      <c r="J32" s="165">
        <v>1.05</v>
      </c>
      <c r="K32" s="166">
        <v>26.16</v>
      </c>
      <c r="L32" s="165">
        <v>26.01</v>
      </c>
      <c r="M32" s="233"/>
      <c r="N32" s="232" t="s">
        <v>20</v>
      </c>
      <c r="O32" s="232" t="s">
        <v>20</v>
      </c>
      <c r="P32" s="231"/>
      <c r="Q32" s="236" t="s">
        <v>21</v>
      </c>
      <c r="R32" s="37">
        <v>75.3</v>
      </c>
      <c r="S32" s="36">
        <f t="shared" si="0"/>
        <v>13.370618359137472</v>
      </c>
      <c r="T32" s="35">
        <v>3</v>
      </c>
      <c r="V32" s="35">
        <f t="shared" si="5"/>
        <v>20</v>
      </c>
      <c r="W32" s="254">
        <f t="shared" si="1"/>
        <v>2.0000000000000018E-2</v>
      </c>
      <c r="X32" s="35">
        <f t="shared" si="2"/>
        <v>0</v>
      </c>
      <c r="Y32" s="35">
        <v>0</v>
      </c>
      <c r="Z32" s="34">
        <v>0</v>
      </c>
      <c r="AA32" s="35">
        <f t="shared" si="3"/>
        <v>0</v>
      </c>
    </row>
    <row r="33" spans="1:27">
      <c r="A33" s="12">
        <f t="shared" si="4"/>
        <v>21</v>
      </c>
      <c r="B33" s="54"/>
      <c r="C33" s="213">
        <v>204</v>
      </c>
      <c r="D33" s="182">
        <v>204</v>
      </c>
      <c r="E33" s="166">
        <v>1.02</v>
      </c>
      <c r="F33" s="11">
        <v>1.03</v>
      </c>
      <c r="G33" s="11">
        <v>1.03</v>
      </c>
      <c r="H33" s="11">
        <v>1.03</v>
      </c>
      <c r="I33" s="199">
        <v>1.03</v>
      </c>
      <c r="J33" s="165">
        <v>1.03</v>
      </c>
      <c r="K33" s="166">
        <v>26</v>
      </c>
      <c r="L33" s="165">
        <v>26</v>
      </c>
      <c r="M33" s="233"/>
      <c r="N33" s="232"/>
      <c r="O33" s="232"/>
      <c r="P33" s="231"/>
      <c r="Q33" s="230"/>
      <c r="R33" s="37">
        <v>73.400000000000006</v>
      </c>
      <c r="S33" s="36">
        <f t="shared" si="0"/>
        <v>13.457321589650695</v>
      </c>
      <c r="T33" s="35">
        <v>3</v>
      </c>
      <c r="V33" s="35">
        <f t="shared" si="5"/>
        <v>21</v>
      </c>
      <c r="W33" s="254">
        <f t="shared" si="1"/>
        <v>1.0000000000000009E-2</v>
      </c>
      <c r="X33" s="35">
        <f t="shared" si="2"/>
        <v>0</v>
      </c>
      <c r="Y33" s="35">
        <v>0</v>
      </c>
      <c r="Z33" s="34">
        <v>0</v>
      </c>
      <c r="AA33" s="35">
        <f t="shared" si="3"/>
        <v>0</v>
      </c>
    </row>
    <row r="34" spans="1:27">
      <c r="A34" s="12">
        <f t="shared" si="4"/>
        <v>22</v>
      </c>
      <c r="B34" s="54"/>
      <c r="C34" s="213">
        <v>204</v>
      </c>
      <c r="D34" s="182">
        <v>204</v>
      </c>
      <c r="E34" s="166">
        <v>1.03</v>
      </c>
      <c r="F34" s="11">
        <v>1.04</v>
      </c>
      <c r="G34" s="11">
        <v>1.03</v>
      </c>
      <c r="H34" s="11">
        <v>1.03</v>
      </c>
      <c r="I34" s="199">
        <v>1.03</v>
      </c>
      <c r="J34" s="165">
        <v>1.03</v>
      </c>
      <c r="K34" s="166">
        <v>25.92</v>
      </c>
      <c r="L34" s="165">
        <v>25.98</v>
      </c>
      <c r="M34" s="233"/>
      <c r="N34" s="232"/>
      <c r="O34" s="232"/>
      <c r="P34" s="231"/>
      <c r="Q34" s="230"/>
      <c r="R34" s="37">
        <v>73.099999999999994</v>
      </c>
      <c r="S34" s="36">
        <f t="shared" si="0"/>
        <v>13.384755697081182</v>
      </c>
      <c r="T34" s="35">
        <v>3</v>
      </c>
      <c r="V34" s="35">
        <f t="shared" si="5"/>
        <v>22</v>
      </c>
      <c r="W34" s="254">
        <f t="shared" si="1"/>
        <v>1.0000000000000009E-2</v>
      </c>
      <c r="X34" s="35">
        <f t="shared" si="2"/>
        <v>0</v>
      </c>
      <c r="Y34" s="35">
        <v>0</v>
      </c>
      <c r="Z34" s="34">
        <v>0</v>
      </c>
      <c r="AA34" s="35">
        <f t="shared" si="3"/>
        <v>0</v>
      </c>
    </row>
    <row r="35" spans="1:27">
      <c r="A35" s="12">
        <f t="shared" si="4"/>
        <v>23</v>
      </c>
      <c r="B35" s="54"/>
      <c r="C35" s="213">
        <v>204</v>
      </c>
      <c r="D35" s="182">
        <v>204</v>
      </c>
      <c r="E35" s="166">
        <v>1.02</v>
      </c>
      <c r="F35" s="11">
        <v>1.01</v>
      </c>
      <c r="G35" s="11">
        <v>1.02</v>
      </c>
      <c r="H35" s="11">
        <v>1.01</v>
      </c>
      <c r="I35" s="199">
        <v>1.02</v>
      </c>
      <c r="J35" s="165">
        <v>1.01</v>
      </c>
      <c r="K35" s="166">
        <v>26.14</v>
      </c>
      <c r="L35" s="165">
        <v>26.06</v>
      </c>
      <c r="M35" s="233"/>
      <c r="N35" s="232" t="s">
        <v>20</v>
      </c>
      <c r="O35" s="232"/>
      <c r="P35" s="231" t="s">
        <v>20</v>
      </c>
      <c r="Q35" s="230"/>
      <c r="R35" s="37">
        <v>72.099999999999994</v>
      </c>
      <c r="S35" s="36">
        <f t="shared" si="0"/>
        <v>13.341312215201842</v>
      </c>
      <c r="T35" s="35">
        <v>3</v>
      </c>
      <c r="V35" s="35">
        <f t="shared" si="5"/>
        <v>23</v>
      </c>
      <c r="W35" s="254">
        <f t="shared" si="1"/>
        <v>1.0000000000000009E-2</v>
      </c>
      <c r="X35" s="35">
        <f t="shared" si="2"/>
        <v>0</v>
      </c>
      <c r="Y35" s="35">
        <v>0</v>
      </c>
      <c r="Z35" s="34">
        <v>0</v>
      </c>
      <c r="AA35" s="35">
        <f t="shared" si="3"/>
        <v>0</v>
      </c>
    </row>
    <row r="36" spans="1:27">
      <c r="A36" s="256">
        <f t="shared" si="4"/>
        <v>24</v>
      </c>
      <c r="B36" s="74"/>
      <c r="C36" s="210">
        <v>204</v>
      </c>
      <c r="D36" s="209">
        <v>204</v>
      </c>
      <c r="E36" s="157">
        <v>1.03</v>
      </c>
      <c r="F36" s="197">
        <v>1.04</v>
      </c>
      <c r="G36" s="197">
        <v>1.04</v>
      </c>
      <c r="H36" s="197">
        <v>1.05</v>
      </c>
      <c r="I36" s="196">
        <v>1.07</v>
      </c>
      <c r="J36" s="156">
        <v>1.07</v>
      </c>
      <c r="K36" s="157">
        <v>26.23</v>
      </c>
      <c r="L36" s="156">
        <v>25.98</v>
      </c>
      <c r="M36" s="225"/>
      <c r="N36" s="224"/>
      <c r="O36" s="224"/>
      <c r="P36" s="223"/>
      <c r="Q36" s="222"/>
      <c r="R36" s="21">
        <v>75.099999999999994</v>
      </c>
      <c r="S36" s="20">
        <f t="shared" si="0"/>
        <v>13.430642000782944</v>
      </c>
      <c r="T36" s="19">
        <v>3</v>
      </c>
      <c r="U36" s="71"/>
      <c r="V36" s="255">
        <f t="shared" si="5"/>
        <v>24</v>
      </c>
      <c r="W36" s="254">
        <f t="shared" si="1"/>
        <v>4.0000000000000036E-2</v>
      </c>
      <c r="X36" s="19">
        <f t="shared" si="2"/>
        <v>0</v>
      </c>
      <c r="Y36" s="19">
        <v>0</v>
      </c>
      <c r="Z36" s="18">
        <v>0</v>
      </c>
      <c r="AA36" s="19">
        <f t="shared" si="3"/>
        <v>0</v>
      </c>
    </row>
    <row r="37" spans="1:27" s="16" customFormat="1">
      <c r="Y37" s="16">
        <f>SUM(Y12:Y36)</f>
        <v>0</v>
      </c>
      <c r="Z37" s="16">
        <f>SUM(Z12:Z36)</f>
        <v>0</v>
      </c>
      <c r="AA37" s="16">
        <f>SUM(AA12:AA36)</f>
        <v>6</v>
      </c>
    </row>
    <row r="39" spans="1:27">
      <c r="A39" s="12" t="s">
        <v>17</v>
      </c>
      <c r="C39" s="1" t="s">
        <v>16</v>
      </c>
      <c r="E39" s="1" t="s">
        <v>15</v>
      </c>
      <c r="K39" s="1" t="s">
        <v>14</v>
      </c>
      <c r="R39" s="1" t="s">
        <v>13</v>
      </c>
      <c r="S39" s="1" t="s">
        <v>12</v>
      </c>
    </row>
    <row r="40" spans="1:27">
      <c r="A40" s="12"/>
    </row>
    <row r="41" spans="1:27">
      <c r="A41" s="1" t="s">
        <v>11</v>
      </c>
      <c r="C41" s="1">
        <f>8*25.4</f>
        <v>203.2</v>
      </c>
      <c r="E41" s="1">
        <f>C6</f>
        <v>1.016</v>
      </c>
      <c r="K41" s="11">
        <v>25.4</v>
      </c>
    </row>
    <row r="42" spans="1:27">
      <c r="A42" s="1" t="s">
        <v>10</v>
      </c>
      <c r="C42" s="1">
        <f>MODE(C12:D36)</f>
        <v>204</v>
      </c>
      <c r="E42" s="1">
        <f>MODE(E12:J36)</f>
        <v>1.03</v>
      </c>
      <c r="K42" s="1">
        <f>MODE(K12:L36)</f>
        <v>26</v>
      </c>
      <c r="R42" s="1">
        <f>MODE(R12:R36)</f>
        <v>73.5</v>
      </c>
      <c r="S42" s="1" t="e">
        <f>MODE(S12:S36)</f>
        <v>#N/A</v>
      </c>
    </row>
    <row r="43" spans="1:27">
      <c r="A43" s="1" t="s">
        <v>9</v>
      </c>
      <c r="C43" s="10">
        <f>AVERAGE(C12:D36)</f>
        <v>204</v>
      </c>
      <c r="D43" s="10"/>
      <c r="E43" s="7">
        <f>AVERAGE(E12:J36)</f>
        <v>1.0238666666666671</v>
      </c>
      <c r="K43" s="6">
        <f>AVERAGE(K12:L36)</f>
        <v>26.022000000000006</v>
      </c>
      <c r="R43" s="9">
        <f>AVERAGE(R12:R36)</f>
        <v>73.059999999999988</v>
      </c>
      <c r="S43" s="9">
        <f>AVERAGE(S12:S36)</f>
        <v>13.443554534211135</v>
      </c>
    </row>
    <row r="44" spans="1:27">
      <c r="A44" s="1" t="s">
        <v>8</v>
      </c>
      <c r="C44" s="1">
        <f>STDEV(C12:D36)</f>
        <v>0</v>
      </c>
      <c r="E44" s="1">
        <f>STDEV(E12:J36)</f>
        <v>2.4680146265506644E-2</v>
      </c>
      <c r="K44" s="1">
        <f>STDEV(K12:L36)</f>
        <v>0.16281954453207606</v>
      </c>
      <c r="R44" s="1">
        <f>STDEV(R12:R36)</f>
        <v>1.4422205101855965</v>
      </c>
      <c r="S44" s="1">
        <f>STDEV(S12:S36)</f>
        <v>8.4959681358698191E-2</v>
      </c>
    </row>
    <row r="45" spans="1:27">
      <c r="A45" s="8" t="s">
        <v>7</v>
      </c>
      <c r="E45" s="7">
        <f>E43+E44</f>
        <v>1.0485468129321738</v>
      </c>
      <c r="K45" s="6">
        <f>K43+K44</f>
        <v>26.184819544532083</v>
      </c>
      <c r="R45" s="1">
        <f>R43+R44</f>
        <v>74.50222051018558</v>
      </c>
      <c r="S45" s="9">
        <f>S43+S44</f>
        <v>13.528514215569833</v>
      </c>
    </row>
    <row r="46" spans="1:27">
      <c r="A46" s="8" t="s">
        <v>6</v>
      </c>
      <c r="E46" s="7">
        <f>E43-E44</f>
        <v>0.99918652040116052</v>
      </c>
      <c r="K46" s="6">
        <f>K43-K44</f>
        <v>25.859180455467929</v>
      </c>
      <c r="R46" s="1">
        <f>R43-R44</f>
        <v>71.617779489814396</v>
      </c>
      <c r="S46" s="9">
        <f>S43-S44</f>
        <v>13.358594852852436</v>
      </c>
    </row>
    <row r="47" spans="1:27">
      <c r="A47" s="1" t="s">
        <v>72</v>
      </c>
      <c r="C47" s="6">
        <f>MAX(C12:D36)-C41</f>
        <v>0.80000000000001137</v>
      </c>
      <c r="E47" s="7">
        <f>MAX(E12:H36)-E41</f>
        <v>5.4000000000000048E-2</v>
      </c>
      <c r="K47" s="6">
        <f>MAX(K12:L36)-$K41</f>
        <v>1.4000000000000021</v>
      </c>
    </row>
    <row r="48" spans="1:27">
      <c r="A48" s="1" t="s">
        <v>71</v>
      </c>
      <c r="C48" s="6">
        <f>MIN(C12:D36)-C41</f>
        <v>0.80000000000001137</v>
      </c>
      <c r="E48" s="7">
        <f>MIN(E12:H36)-E41</f>
        <v>-6.6000000000000059E-2</v>
      </c>
      <c r="K48" s="6">
        <f>MIN(K12:L36)-K41</f>
        <v>0.25</v>
      </c>
    </row>
    <row r="49" spans="1:4" ht="15" thickBot="1"/>
    <row r="50" spans="1:4">
      <c r="A50" s="1" t="s">
        <v>3</v>
      </c>
      <c r="C50" s="5" t="s">
        <v>2</v>
      </c>
      <c r="D50" s="5" t="s">
        <v>1</v>
      </c>
    </row>
    <row r="51" spans="1:4">
      <c r="A51" s="1">
        <v>0.94</v>
      </c>
      <c r="C51" s="4">
        <v>0.94</v>
      </c>
      <c r="D51" s="3">
        <v>0</v>
      </c>
    </row>
    <row r="52" spans="1:4">
      <c r="A52" s="1">
        <f t="shared" ref="A52:A64" si="6">A51+0.01</f>
        <v>0.95</v>
      </c>
      <c r="C52" s="4">
        <v>0.95</v>
      </c>
      <c r="D52" s="3">
        <v>5</v>
      </c>
    </row>
    <row r="53" spans="1:4">
      <c r="A53" s="1">
        <f t="shared" si="6"/>
        <v>0.96</v>
      </c>
      <c r="C53" s="4">
        <v>0.96</v>
      </c>
      <c r="D53" s="3">
        <v>2</v>
      </c>
    </row>
    <row r="54" spans="1:4">
      <c r="A54" s="1">
        <f t="shared" si="6"/>
        <v>0.97</v>
      </c>
      <c r="C54" s="4">
        <v>0.97</v>
      </c>
      <c r="D54" s="3">
        <v>1</v>
      </c>
    </row>
    <row r="55" spans="1:4">
      <c r="A55" s="1">
        <f t="shared" si="6"/>
        <v>0.98</v>
      </c>
      <c r="C55" s="4">
        <v>0.98</v>
      </c>
      <c r="D55" s="3">
        <v>3</v>
      </c>
    </row>
    <row r="56" spans="1:4">
      <c r="A56" s="1">
        <f t="shared" si="6"/>
        <v>0.99</v>
      </c>
      <c r="C56" s="4">
        <v>0.99</v>
      </c>
      <c r="D56" s="3">
        <v>3</v>
      </c>
    </row>
    <row r="57" spans="1:4">
      <c r="A57" s="1">
        <f t="shared" si="6"/>
        <v>1</v>
      </c>
      <c r="C57" s="4">
        <v>1</v>
      </c>
      <c r="D57" s="3">
        <v>15</v>
      </c>
    </row>
    <row r="58" spans="1:4">
      <c r="A58" s="1">
        <f t="shared" si="6"/>
        <v>1.01</v>
      </c>
      <c r="C58" s="4">
        <v>1.01</v>
      </c>
      <c r="D58" s="3">
        <v>13</v>
      </c>
    </row>
    <row r="59" spans="1:4">
      <c r="A59" s="1">
        <f t="shared" si="6"/>
        <v>1.02</v>
      </c>
      <c r="C59" s="4">
        <v>1.02</v>
      </c>
      <c r="D59" s="3">
        <v>16</v>
      </c>
    </row>
    <row r="60" spans="1:4">
      <c r="A60" s="1">
        <f t="shared" si="6"/>
        <v>1.03</v>
      </c>
      <c r="C60" s="4">
        <v>1.03</v>
      </c>
      <c r="D60" s="3">
        <v>44</v>
      </c>
    </row>
    <row r="61" spans="1:4">
      <c r="A61" s="1">
        <f t="shared" si="6"/>
        <v>1.04</v>
      </c>
      <c r="C61" s="4">
        <v>1.04</v>
      </c>
      <c r="D61" s="3">
        <v>27</v>
      </c>
    </row>
    <row r="62" spans="1:4">
      <c r="A62" s="1">
        <f t="shared" si="6"/>
        <v>1.05</v>
      </c>
      <c r="C62" s="4">
        <v>1.05</v>
      </c>
      <c r="D62" s="3">
        <v>12</v>
      </c>
    </row>
    <row r="63" spans="1:4">
      <c r="A63" s="1">
        <f t="shared" si="6"/>
        <v>1.06</v>
      </c>
      <c r="C63" s="4">
        <v>1.06</v>
      </c>
      <c r="D63" s="3">
        <v>5</v>
      </c>
    </row>
    <row r="64" spans="1:4">
      <c r="A64" s="1">
        <f t="shared" si="6"/>
        <v>1.07</v>
      </c>
      <c r="C64" s="4">
        <v>1.07</v>
      </c>
      <c r="D64" s="3">
        <v>4</v>
      </c>
    </row>
    <row r="65" spans="1:4">
      <c r="A65" s="1">
        <v>1.08</v>
      </c>
      <c r="C65" s="4">
        <v>1.08</v>
      </c>
      <c r="D65" s="3">
        <v>0</v>
      </c>
    </row>
    <row r="66" spans="1:4">
      <c r="A66" s="1">
        <v>1.0900000000000001</v>
      </c>
      <c r="C66" s="4">
        <v>1.0900000000000001</v>
      </c>
      <c r="D66" s="3">
        <v>0</v>
      </c>
    </row>
    <row r="67" spans="1:4" ht="15" thickBot="1">
      <c r="C67" s="2" t="s">
        <v>0</v>
      </c>
      <c r="D67" s="2">
        <v>0</v>
      </c>
    </row>
  </sheetData>
  <mergeCells count="4">
    <mergeCell ref="C9:D9"/>
    <mergeCell ref="E9:I9"/>
    <mergeCell ref="K9:L9"/>
    <mergeCell ref="M9:P9"/>
  </mergeCells>
  <phoneticPr fontId="16" type="noConversion"/>
  <pageMargins left="0.25" right="0.25" top="0.25" bottom="0.25" header="0.3" footer="0.3"/>
  <pageSetup orientation="landscape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1"/>
  <sheetViews>
    <sheetView topLeftCell="A3" zoomScale="70" zoomScaleNormal="70" zoomScalePageLayoutView="70" workbookViewId="0">
      <selection activeCell="AC32" sqref="AC32"/>
    </sheetView>
  </sheetViews>
  <sheetFormatPr baseColWidth="10" defaultColWidth="8.83203125" defaultRowHeight="14" x14ac:dyDescent="0"/>
  <cols>
    <col min="1" max="1" width="6.33203125" style="1" customWidth="1"/>
    <col min="2" max="2" width="16.1640625" style="1" customWidth="1"/>
    <col min="3" max="4" width="5.1640625" style="1" customWidth="1"/>
    <col min="5" max="9" width="6.83203125" style="1" customWidth="1"/>
    <col min="10" max="10" width="6.83203125" style="1" bestFit="1" customWidth="1"/>
    <col min="11" max="12" width="6.83203125" style="1" customWidth="1"/>
    <col min="13" max="16" width="3.6640625" style="1" customWidth="1"/>
    <col min="17" max="17" width="10.6640625" style="1" customWidth="1"/>
    <col min="18" max="18" width="5.5" style="1" customWidth="1"/>
    <col min="19" max="19" width="5.1640625" style="1" customWidth="1"/>
    <col min="20" max="20" width="9.83203125" style="1" customWidth="1"/>
    <col min="21" max="16384" width="8.83203125" style="1"/>
  </cols>
  <sheetData>
    <row r="1" spans="1:28">
      <c r="A1" s="1" t="s">
        <v>49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8"/>
      <c r="S1" s="78"/>
      <c r="T1" s="78"/>
    </row>
    <row r="2" spans="1:28">
      <c r="A2" s="1" t="s">
        <v>48</v>
      </c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8"/>
      <c r="S2" s="78"/>
      <c r="T2" s="78"/>
    </row>
    <row r="3" spans="1:28">
      <c r="A3" s="1" t="s">
        <v>47</v>
      </c>
      <c r="B3" s="79"/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  <c r="R3" s="78"/>
      <c r="S3" s="78"/>
      <c r="T3" s="78"/>
    </row>
    <row r="4" spans="1:28">
      <c r="B4" s="79"/>
      <c r="C4" s="79"/>
      <c r="D4" s="79"/>
      <c r="E4" s="79"/>
      <c r="F4" s="79"/>
      <c r="G4" s="79"/>
      <c r="H4" s="79"/>
      <c r="I4" s="79"/>
      <c r="J4" s="79"/>
      <c r="K4" s="79"/>
      <c r="L4" s="79"/>
      <c r="M4" s="79"/>
      <c r="N4" s="79"/>
      <c r="O4" s="79"/>
      <c r="P4" s="79"/>
      <c r="Q4" s="79"/>
      <c r="R4" s="78"/>
      <c r="S4" s="78"/>
      <c r="T4" s="78"/>
    </row>
    <row r="5" spans="1:28">
      <c r="B5" s="79" t="s">
        <v>46</v>
      </c>
      <c r="C5" s="79" t="s">
        <v>45</v>
      </c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8"/>
      <c r="S5" s="78"/>
      <c r="T5" s="78"/>
    </row>
    <row r="6" spans="1:28">
      <c r="A6" s="1" t="s">
        <v>86</v>
      </c>
      <c r="B6" s="12">
        <v>0.04</v>
      </c>
      <c r="C6" s="1">
        <v>1.016</v>
      </c>
      <c r="D6" s="79"/>
      <c r="E6" s="79"/>
      <c r="F6" s="79"/>
      <c r="G6" s="79"/>
      <c r="H6" s="79"/>
      <c r="I6" s="79"/>
      <c r="J6" s="79"/>
      <c r="K6" s="79"/>
      <c r="L6" s="79"/>
      <c r="M6" s="79"/>
      <c r="N6" s="79"/>
      <c r="O6" s="79"/>
      <c r="P6" s="79"/>
      <c r="Q6" s="79"/>
      <c r="R6" s="78"/>
      <c r="S6" s="78"/>
      <c r="T6" s="78"/>
    </row>
    <row r="7" spans="1:28">
      <c r="B7" s="12"/>
      <c r="D7" s="79"/>
      <c r="E7" s="79"/>
      <c r="F7" s="79"/>
      <c r="G7" s="79"/>
      <c r="H7" s="79"/>
      <c r="I7" s="79"/>
      <c r="J7" s="79"/>
      <c r="K7" s="79"/>
      <c r="L7" s="79"/>
      <c r="M7" s="79"/>
      <c r="N7" s="79"/>
      <c r="O7" s="79"/>
      <c r="P7" s="79"/>
      <c r="Q7" s="79"/>
      <c r="R7" s="78"/>
      <c r="S7" s="78"/>
      <c r="T7" s="78"/>
    </row>
    <row r="8" spans="1:28">
      <c r="A8" s="77" t="s">
        <v>43</v>
      </c>
      <c r="B8" s="79"/>
      <c r="C8" s="79"/>
      <c r="D8" s="79"/>
      <c r="E8" s="79"/>
      <c r="F8" s="79"/>
      <c r="G8" s="79"/>
      <c r="H8" s="79"/>
      <c r="I8" s="79"/>
      <c r="J8" s="79"/>
      <c r="K8" s="79"/>
      <c r="L8" s="79"/>
      <c r="M8" s="79"/>
      <c r="N8" s="79"/>
      <c r="O8" s="79"/>
      <c r="P8" s="79"/>
      <c r="Q8" s="79"/>
      <c r="R8" s="78"/>
      <c r="S8" s="78"/>
      <c r="T8" s="78"/>
      <c r="V8" s="221" t="s">
        <v>42</v>
      </c>
      <c r="Y8" s="221"/>
    </row>
    <row r="9" spans="1:28" ht="42">
      <c r="A9" s="71" t="s">
        <v>32</v>
      </c>
      <c r="B9" s="261" t="s">
        <v>41</v>
      </c>
      <c r="C9" s="386" t="s">
        <v>40</v>
      </c>
      <c r="D9" s="387"/>
      <c r="E9" s="385" t="s">
        <v>39</v>
      </c>
      <c r="F9" s="385"/>
      <c r="G9" s="385"/>
      <c r="H9" s="385"/>
      <c r="I9" s="385"/>
      <c r="J9" s="75"/>
      <c r="K9" s="386" t="s">
        <v>38</v>
      </c>
      <c r="L9" s="387"/>
      <c r="M9" s="386" t="s">
        <v>37</v>
      </c>
      <c r="N9" s="384"/>
      <c r="O9" s="384"/>
      <c r="P9" s="384"/>
      <c r="Q9" s="74" t="s">
        <v>36</v>
      </c>
      <c r="R9" s="204" t="s">
        <v>70</v>
      </c>
      <c r="S9" s="203" t="s">
        <v>69</v>
      </c>
      <c r="T9" s="220" t="s">
        <v>33</v>
      </c>
      <c r="V9" s="19" t="s">
        <v>32</v>
      </c>
      <c r="W9" s="253" t="s">
        <v>58</v>
      </c>
      <c r="X9" s="69" t="s">
        <v>31</v>
      </c>
      <c r="Y9" s="68" t="s">
        <v>30</v>
      </c>
      <c r="Z9" s="19" t="s">
        <v>29</v>
      </c>
      <c r="AA9" s="253" t="s">
        <v>51</v>
      </c>
      <c r="AB9" s="252" t="s">
        <v>27</v>
      </c>
    </row>
    <row r="10" spans="1:28">
      <c r="A10" s="12"/>
      <c r="B10" s="187"/>
      <c r="C10" s="177">
        <v>1</v>
      </c>
      <c r="D10" s="187">
        <v>2</v>
      </c>
      <c r="E10" s="219">
        <v>1</v>
      </c>
      <c r="F10" s="218">
        <v>2</v>
      </c>
      <c r="G10" s="218">
        <v>3</v>
      </c>
      <c r="H10" s="218">
        <v>4</v>
      </c>
      <c r="I10" s="218">
        <v>5</v>
      </c>
      <c r="J10" s="217">
        <v>6</v>
      </c>
      <c r="K10" s="219">
        <v>1</v>
      </c>
      <c r="L10" s="217">
        <v>2</v>
      </c>
      <c r="M10" s="219">
        <v>1</v>
      </c>
      <c r="N10" s="218">
        <v>2</v>
      </c>
      <c r="O10" s="218">
        <v>3</v>
      </c>
      <c r="P10" s="218">
        <v>4</v>
      </c>
      <c r="Q10" s="217"/>
      <c r="R10" s="216"/>
      <c r="S10" s="215"/>
      <c r="T10" s="214"/>
      <c r="V10" s="35"/>
      <c r="W10" s="35"/>
      <c r="X10" s="52"/>
      <c r="Y10" s="59"/>
      <c r="Z10" s="59"/>
      <c r="AA10" s="35"/>
    </row>
    <row r="11" spans="1:28">
      <c r="A11" s="12"/>
      <c r="B11" s="187"/>
      <c r="C11" s="177"/>
      <c r="D11" s="187"/>
      <c r="E11" s="177"/>
      <c r="F11" s="55"/>
      <c r="G11" s="55"/>
      <c r="H11" s="55"/>
      <c r="I11" s="55"/>
      <c r="J11" s="187"/>
      <c r="K11" s="177"/>
      <c r="L11" s="187"/>
      <c r="M11" s="177"/>
      <c r="N11" s="55"/>
      <c r="O11" s="55"/>
      <c r="P11" s="55"/>
      <c r="Q11" s="187"/>
      <c r="R11" s="37"/>
      <c r="S11" s="53"/>
      <c r="T11" s="35"/>
      <c r="V11" s="35"/>
      <c r="W11" s="35"/>
      <c r="X11" s="52"/>
      <c r="Y11" s="35"/>
      <c r="Z11" s="35"/>
      <c r="AA11" s="35"/>
    </row>
    <row r="12" spans="1:28">
      <c r="A12" s="12">
        <v>25</v>
      </c>
      <c r="B12" s="54"/>
      <c r="C12" s="213">
        <v>103</v>
      </c>
      <c r="D12" s="182">
        <v>103</v>
      </c>
      <c r="E12" s="166">
        <v>1.02</v>
      </c>
      <c r="F12" s="11">
        <v>1.02</v>
      </c>
      <c r="G12" s="199">
        <v>1.01</v>
      </c>
      <c r="H12" s="199">
        <v>1.02</v>
      </c>
      <c r="I12" s="199"/>
      <c r="J12" s="165"/>
      <c r="K12" s="166">
        <v>26.04</v>
      </c>
      <c r="L12" s="165">
        <v>25.94</v>
      </c>
      <c r="M12" s="233" t="s">
        <v>20</v>
      </c>
      <c r="N12" s="232"/>
      <c r="O12" s="232"/>
      <c r="P12" s="231"/>
      <c r="Q12" s="230"/>
      <c r="R12" s="37">
        <v>36.700000000000003</v>
      </c>
      <c r="S12" s="36">
        <v>13.473739365325747</v>
      </c>
      <c r="T12" s="35">
        <v>3</v>
      </c>
      <c r="V12" s="35">
        <v>25</v>
      </c>
      <c r="W12" s="264">
        <f t="shared" ref="W12:W30" si="0">MAX(E12:H12)-MIN(E12:H12)</f>
        <v>1.0000000000000009E-2</v>
      </c>
      <c r="X12" s="35">
        <v>0</v>
      </c>
      <c r="Y12" s="35">
        <v>0</v>
      </c>
      <c r="Z12" s="34">
        <v>0</v>
      </c>
      <c r="AA12" s="35">
        <f t="shared" ref="AA12:AA30" si="1">IF(OR(M12="Y",N12="Y",O12="Y",P12="Y"),1,0)</f>
        <v>0</v>
      </c>
    </row>
    <row r="13" spans="1:28">
      <c r="A13" s="12">
        <v>26</v>
      </c>
      <c r="B13" s="54"/>
      <c r="C13" s="213">
        <v>103</v>
      </c>
      <c r="D13" s="182">
        <v>103</v>
      </c>
      <c r="E13" s="166">
        <v>1</v>
      </c>
      <c r="F13" s="11">
        <v>1.02</v>
      </c>
      <c r="G13" s="11">
        <v>1.02</v>
      </c>
      <c r="H13" s="11">
        <v>1.02</v>
      </c>
      <c r="I13" s="199"/>
      <c r="J13" s="165"/>
      <c r="K13" s="166">
        <v>26.06</v>
      </c>
      <c r="L13" s="165">
        <v>26.06</v>
      </c>
      <c r="M13" s="233"/>
      <c r="N13" s="232" t="s">
        <v>20</v>
      </c>
      <c r="O13" s="232"/>
      <c r="P13" s="231"/>
      <c r="Q13" s="230"/>
      <c r="R13" s="37">
        <v>36.5</v>
      </c>
      <c r="S13" s="36">
        <v>13.39723533183502</v>
      </c>
      <c r="T13" s="35">
        <v>3</v>
      </c>
      <c r="V13" s="35">
        <v>26</v>
      </c>
      <c r="W13" s="264">
        <f t="shared" si="0"/>
        <v>2.0000000000000018E-2</v>
      </c>
      <c r="X13" s="35">
        <v>0</v>
      </c>
      <c r="Y13" s="35">
        <v>0</v>
      </c>
      <c r="Z13" s="34">
        <v>0</v>
      </c>
      <c r="AA13" s="35">
        <f t="shared" si="1"/>
        <v>0</v>
      </c>
    </row>
    <row r="14" spans="1:28">
      <c r="A14" s="12">
        <v>27</v>
      </c>
      <c r="B14" s="54"/>
      <c r="C14" s="213">
        <v>103</v>
      </c>
      <c r="D14" s="182">
        <v>103</v>
      </c>
      <c r="E14" s="166">
        <v>1.03</v>
      </c>
      <c r="F14" s="11">
        <v>1.02</v>
      </c>
      <c r="G14" s="11">
        <v>1.02</v>
      </c>
      <c r="H14" s="11">
        <v>1.01</v>
      </c>
      <c r="I14" s="199"/>
      <c r="J14" s="165"/>
      <c r="K14" s="166">
        <v>26.05</v>
      </c>
      <c r="L14" s="165">
        <v>26.07</v>
      </c>
      <c r="M14" s="233"/>
      <c r="N14" s="232"/>
      <c r="O14" s="232"/>
      <c r="P14" s="231"/>
      <c r="Q14" s="230"/>
      <c r="R14" s="37">
        <v>36.6</v>
      </c>
      <c r="S14" s="36">
        <v>13.368087438687596</v>
      </c>
      <c r="T14" s="35">
        <v>3</v>
      </c>
      <c r="V14" s="35">
        <v>27</v>
      </c>
      <c r="W14" s="264">
        <f t="shared" si="0"/>
        <v>2.0000000000000018E-2</v>
      </c>
      <c r="X14" s="35">
        <v>0</v>
      </c>
      <c r="Y14" s="35">
        <v>0</v>
      </c>
      <c r="Z14" s="34">
        <v>0</v>
      </c>
      <c r="AA14" s="35">
        <f t="shared" si="1"/>
        <v>0</v>
      </c>
    </row>
    <row r="15" spans="1:28">
      <c r="A15" s="12">
        <v>28</v>
      </c>
      <c r="B15" s="54"/>
      <c r="C15" s="213">
        <v>102</v>
      </c>
      <c r="D15" s="182">
        <v>102</v>
      </c>
      <c r="E15" s="166">
        <v>1.04</v>
      </c>
      <c r="F15" s="11">
        <v>1.04</v>
      </c>
      <c r="G15" s="11">
        <v>1.05</v>
      </c>
      <c r="H15" s="11">
        <v>1.04</v>
      </c>
      <c r="I15" s="199"/>
      <c r="J15" s="165"/>
      <c r="K15" s="166">
        <v>26.01</v>
      </c>
      <c r="L15" s="165">
        <v>26.1</v>
      </c>
      <c r="M15" s="233"/>
      <c r="N15" s="232" t="s">
        <v>20</v>
      </c>
      <c r="O15" s="232"/>
      <c r="P15" s="231"/>
      <c r="Q15" s="236" t="s">
        <v>19</v>
      </c>
      <c r="R15" s="37">
        <v>37.4</v>
      </c>
      <c r="S15" s="36">
        <v>13.499083672996356</v>
      </c>
      <c r="T15" s="35">
        <v>3</v>
      </c>
      <c r="V15" s="35">
        <v>28</v>
      </c>
      <c r="W15" s="264">
        <f t="shared" si="0"/>
        <v>1.0000000000000009E-2</v>
      </c>
      <c r="X15" s="35">
        <v>0</v>
      </c>
      <c r="Y15" s="35">
        <v>0</v>
      </c>
      <c r="Z15" s="34">
        <v>0</v>
      </c>
      <c r="AA15" s="35">
        <f t="shared" si="1"/>
        <v>0</v>
      </c>
    </row>
    <row r="16" spans="1:28">
      <c r="A16" s="12">
        <v>29</v>
      </c>
      <c r="B16" s="54"/>
      <c r="C16" s="213">
        <v>102</v>
      </c>
      <c r="D16" s="182">
        <v>102</v>
      </c>
      <c r="E16" s="166">
        <v>1.05</v>
      </c>
      <c r="F16" s="11">
        <v>1.05</v>
      </c>
      <c r="G16" s="11">
        <v>1.03</v>
      </c>
      <c r="H16" s="11">
        <v>1.04</v>
      </c>
      <c r="I16" s="199"/>
      <c r="J16" s="165"/>
      <c r="K16" s="166">
        <v>26.03</v>
      </c>
      <c r="L16" s="165">
        <v>26.07</v>
      </c>
      <c r="M16" s="233" t="s">
        <v>20</v>
      </c>
      <c r="N16" s="232"/>
      <c r="O16" s="232"/>
      <c r="P16" s="231"/>
      <c r="Q16" s="236" t="s">
        <v>21</v>
      </c>
      <c r="R16" s="37">
        <v>37.4</v>
      </c>
      <c r="S16" s="36">
        <v>13.501674667943188</v>
      </c>
      <c r="T16" s="35">
        <v>3</v>
      </c>
      <c r="V16" s="35">
        <v>29</v>
      </c>
      <c r="W16" s="264">
        <f t="shared" si="0"/>
        <v>2.0000000000000018E-2</v>
      </c>
      <c r="X16" s="35">
        <v>0</v>
      </c>
      <c r="Y16" s="35">
        <v>0</v>
      </c>
      <c r="Z16" s="34">
        <v>0</v>
      </c>
      <c r="AA16" s="35">
        <f t="shared" si="1"/>
        <v>0</v>
      </c>
    </row>
    <row r="17" spans="1:28">
      <c r="A17" s="12">
        <v>30</v>
      </c>
      <c r="B17" s="54"/>
      <c r="C17" s="213">
        <v>102</v>
      </c>
      <c r="D17" s="182">
        <v>102</v>
      </c>
      <c r="E17" s="166">
        <v>1.01</v>
      </c>
      <c r="F17" s="11">
        <v>1.03</v>
      </c>
      <c r="G17" s="11">
        <v>1.01</v>
      </c>
      <c r="H17" s="11">
        <v>1.03</v>
      </c>
      <c r="I17" s="199"/>
      <c r="J17" s="165"/>
      <c r="K17" s="166">
        <v>26.05</v>
      </c>
      <c r="L17" s="165">
        <v>25.95</v>
      </c>
      <c r="M17" s="233"/>
      <c r="N17" s="232"/>
      <c r="O17" s="232"/>
      <c r="P17" s="231"/>
      <c r="Q17" s="236" t="s">
        <v>21</v>
      </c>
      <c r="R17" s="37">
        <v>36.5</v>
      </c>
      <c r="S17" s="36">
        <v>13.493330967379411</v>
      </c>
      <c r="T17" s="35">
        <v>3</v>
      </c>
      <c r="V17" s="35">
        <v>30</v>
      </c>
      <c r="W17" s="264">
        <f t="shared" si="0"/>
        <v>2.0000000000000018E-2</v>
      </c>
      <c r="X17" s="35">
        <v>0</v>
      </c>
      <c r="Y17" s="35">
        <v>0</v>
      </c>
      <c r="Z17" s="34">
        <v>0</v>
      </c>
      <c r="AA17" s="35">
        <f t="shared" si="1"/>
        <v>0</v>
      </c>
    </row>
    <row r="18" spans="1:28">
      <c r="A18" s="12">
        <v>31</v>
      </c>
      <c r="B18" s="54"/>
      <c r="C18" s="213">
        <v>103</v>
      </c>
      <c r="D18" s="182">
        <v>103</v>
      </c>
      <c r="E18" s="166">
        <v>1.01</v>
      </c>
      <c r="F18" s="11">
        <v>1.02</v>
      </c>
      <c r="G18" s="11">
        <v>1.01</v>
      </c>
      <c r="H18" s="11">
        <v>1.02</v>
      </c>
      <c r="I18" s="199"/>
      <c r="J18" s="165"/>
      <c r="K18" s="166">
        <v>26.04</v>
      </c>
      <c r="L18" s="165">
        <v>25.92</v>
      </c>
      <c r="M18" s="233"/>
      <c r="N18" s="232"/>
      <c r="O18" s="232"/>
      <c r="P18" s="231"/>
      <c r="Q18" s="230"/>
      <c r="R18" s="37">
        <v>36.200000000000003</v>
      </c>
      <c r="S18" s="36">
        <v>13.328035991293477</v>
      </c>
      <c r="T18" s="35">
        <v>3</v>
      </c>
      <c r="V18" s="35">
        <v>31</v>
      </c>
      <c r="W18" s="264">
        <f t="shared" si="0"/>
        <v>1.0000000000000009E-2</v>
      </c>
      <c r="X18" s="35">
        <v>0</v>
      </c>
      <c r="Y18" s="35">
        <v>0</v>
      </c>
      <c r="Z18" s="34">
        <v>0</v>
      </c>
      <c r="AA18" s="35">
        <f t="shared" si="1"/>
        <v>0</v>
      </c>
    </row>
    <row r="19" spans="1:28">
      <c r="A19" s="12">
        <v>32</v>
      </c>
      <c r="B19" s="54"/>
      <c r="C19" s="213">
        <v>103</v>
      </c>
      <c r="D19" s="182">
        <v>103</v>
      </c>
      <c r="E19" s="166">
        <v>1.02</v>
      </c>
      <c r="F19" s="11">
        <v>1.01</v>
      </c>
      <c r="G19" s="11">
        <v>1.02</v>
      </c>
      <c r="H19" s="11">
        <v>1</v>
      </c>
      <c r="I19" s="199"/>
      <c r="J19" s="165"/>
      <c r="K19" s="166">
        <v>26.07</v>
      </c>
      <c r="L19" s="165">
        <v>26.03</v>
      </c>
      <c r="M19" s="233"/>
      <c r="N19" s="232"/>
      <c r="O19" s="232"/>
      <c r="P19" s="231"/>
      <c r="Q19" s="230"/>
      <c r="R19" s="37">
        <v>36.6</v>
      </c>
      <c r="S19" s="36">
        <v>13.472280024653164</v>
      </c>
      <c r="T19" s="35">
        <v>3</v>
      </c>
      <c r="V19" s="35">
        <v>32</v>
      </c>
      <c r="W19" s="264">
        <f t="shared" si="0"/>
        <v>2.0000000000000018E-2</v>
      </c>
      <c r="X19" s="35">
        <v>0</v>
      </c>
      <c r="Y19" s="35">
        <v>0</v>
      </c>
      <c r="Z19" s="34">
        <v>0</v>
      </c>
      <c r="AA19" s="35">
        <f t="shared" si="1"/>
        <v>0</v>
      </c>
    </row>
    <row r="20" spans="1:28">
      <c r="A20" s="12">
        <v>33</v>
      </c>
      <c r="B20" s="54"/>
      <c r="C20" s="213">
        <v>103</v>
      </c>
      <c r="D20" s="182">
        <v>103</v>
      </c>
      <c r="E20" s="166">
        <v>1.02</v>
      </c>
      <c r="F20" s="11">
        <v>1.01</v>
      </c>
      <c r="G20" s="11">
        <v>1.01</v>
      </c>
      <c r="H20" s="11">
        <v>1.02</v>
      </c>
      <c r="I20" s="199"/>
      <c r="J20" s="165"/>
      <c r="K20" s="166">
        <v>26.07</v>
      </c>
      <c r="L20" s="165">
        <v>26.05</v>
      </c>
      <c r="M20" s="233" t="s">
        <v>20</v>
      </c>
      <c r="N20" s="232"/>
      <c r="O20" s="232"/>
      <c r="P20" s="231"/>
      <c r="Q20" s="236" t="s">
        <v>21</v>
      </c>
      <c r="R20" s="37">
        <v>36.4</v>
      </c>
      <c r="S20" s="36">
        <v>13.360530577501224</v>
      </c>
      <c r="T20" s="35">
        <v>3</v>
      </c>
      <c r="V20" s="35">
        <v>33</v>
      </c>
      <c r="W20" s="264">
        <f t="shared" si="0"/>
        <v>1.0000000000000009E-2</v>
      </c>
      <c r="X20" s="35">
        <v>0</v>
      </c>
      <c r="Y20" s="35">
        <v>0</v>
      </c>
      <c r="Z20" s="34">
        <v>0</v>
      </c>
      <c r="AA20" s="35">
        <f t="shared" si="1"/>
        <v>0</v>
      </c>
    </row>
    <row r="21" spans="1:28">
      <c r="A21" s="12">
        <v>34</v>
      </c>
      <c r="B21" s="54"/>
      <c r="C21" s="213">
        <v>103</v>
      </c>
      <c r="D21" s="182">
        <v>103</v>
      </c>
      <c r="E21" s="166">
        <v>1.01</v>
      </c>
      <c r="F21" s="11">
        <v>1.02</v>
      </c>
      <c r="G21" s="11">
        <v>1.02</v>
      </c>
      <c r="H21" s="11">
        <v>1.02</v>
      </c>
      <c r="I21" s="199"/>
      <c r="J21" s="165"/>
      <c r="K21" s="166">
        <v>25.94</v>
      </c>
      <c r="L21" s="165">
        <v>26.06</v>
      </c>
      <c r="M21" s="233" t="s">
        <v>20</v>
      </c>
      <c r="N21" s="232"/>
      <c r="O21" s="232"/>
      <c r="P21" s="231"/>
      <c r="Q21" s="236" t="s">
        <v>21</v>
      </c>
      <c r="R21" s="37">
        <v>36.299999999999997</v>
      </c>
      <c r="S21" s="36">
        <v>13.321760894576427</v>
      </c>
      <c r="T21" s="35">
        <v>3</v>
      </c>
      <c r="V21" s="35">
        <v>34</v>
      </c>
      <c r="W21" s="264">
        <f t="shared" si="0"/>
        <v>1.0000000000000009E-2</v>
      </c>
      <c r="X21" s="35">
        <v>0</v>
      </c>
      <c r="Y21" s="35">
        <v>0</v>
      </c>
      <c r="Z21" s="34">
        <v>0</v>
      </c>
      <c r="AA21" s="35">
        <f t="shared" si="1"/>
        <v>0</v>
      </c>
    </row>
    <row r="22" spans="1:28">
      <c r="A22" s="12">
        <v>35</v>
      </c>
      <c r="B22" s="54"/>
      <c r="C22" s="213">
        <v>103</v>
      </c>
      <c r="D22" s="182">
        <v>103</v>
      </c>
      <c r="E22" s="166">
        <v>1.03</v>
      </c>
      <c r="F22" s="11">
        <v>1.03</v>
      </c>
      <c r="G22" s="11">
        <v>1.02</v>
      </c>
      <c r="H22" s="11">
        <v>1.02</v>
      </c>
      <c r="I22" s="199"/>
      <c r="J22" s="165"/>
      <c r="K22" s="166">
        <v>25.94</v>
      </c>
      <c r="L22" s="165">
        <v>26.05</v>
      </c>
      <c r="M22" s="233"/>
      <c r="N22" s="232"/>
      <c r="O22" s="232"/>
      <c r="P22" s="231"/>
      <c r="Q22" s="230"/>
      <c r="R22" s="37">
        <v>36.700000000000003</v>
      </c>
      <c r="S22" s="36">
        <v>13.372578389339433</v>
      </c>
      <c r="T22" s="35">
        <v>3</v>
      </c>
      <c r="V22" s="35">
        <v>35</v>
      </c>
      <c r="W22" s="264">
        <f t="shared" si="0"/>
        <v>1.0000000000000009E-2</v>
      </c>
      <c r="X22" s="35">
        <v>0</v>
      </c>
      <c r="Y22" s="35">
        <v>0</v>
      </c>
      <c r="Z22" s="34">
        <v>0</v>
      </c>
      <c r="AA22" s="35">
        <f t="shared" si="1"/>
        <v>0</v>
      </c>
    </row>
    <row r="23" spans="1:28">
      <c r="A23" s="12">
        <v>36</v>
      </c>
      <c r="B23" s="54"/>
      <c r="C23" s="213">
        <v>102</v>
      </c>
      <c r="D23" s="182">
        <v>102</v>
      </c>
      <c r="E23" s="166">
        <v>1.03</v>
      </c>
      <c r="F23" s="11">
        <v>1.02</v>
      </c>
      <c r="G23" s="11">
        <v>1.04</v>
      </c>
      <c r="H23" s="11">
        <v>1.02</v>
      </c>
      <c r="I23" s="199"/>
      <c r="J23" s="165"/>
      <c r="K23" s="166">
        <v>26.09</v>
      </c>
      <c r="L23" s="165">
        <v>26.1</v>
      </c>
      <c r="M23" s="233"/>
      <c r="N23" s="232" t="s">
        <v>20</v>
      </c>
      <c r="O23" s="232"/>
      <c r="P23" s="231"/>
      <c r="Q23" s="230"/>
      <c r="R23" s="37">
        <v>36.9</v>
      </c>
      <c r="S23" s="36">
        <v>13.492333351789313</v>
      </c>
      <c r="T23" s="35">
        <v>3</v>
      </c>
      <c r="V23" s="35">
        <v>36</v>
      </c>
      <c r="W23" s="264">
        <f t="shared" si="0"/>
        <v>2.0000000000000018E-2</v>
      </c>
      <c r="X23" s="35">
        <v>0</v>
      </c>
      <c r="Y23" s="35">
        <v>0</v>
      </c>
      <c r="Z23" s="34">
        <v>0</v>
      </c>
      <c r="AA23" s="35">
        <f t="shared" si="1"/>
        <v>0</v>
      </c>
    </row>
    <row r="24" spans="1:28">
      <c r="A24" s="12">
        <v>37</v>
      </c>
      <c r="B24" s="54"/>
      <c r="C24" s="213">
        <v>103</v>
      </c>
      <c r="D24" s="182">
        <v>103</v>
      </c>
      <c r="E24" s="166">
        <v>1.05</v>
      </c>
      <c r="F24" s="11">
        <v>1.06</v>
      </c>
      <c r="G24" s="11">
        <v>1.05</v>
      </c>
      <c r="H24" s="11">
        <v>1.05</v>
      </c>
      <c r="I24" s="199"/>
      <c r="J24" s="165"/>
      <c r="K24" s="166">
        <v>26.09</v>
      </c>
      <c r="L24" s="165">
        <v>26.08</v>
      </c>
      <c r="M24" s="233"/>
      <c r="N24" s="232"/>
      <c r="O24" s="232"/>
      <c r="P24" s="231"/>
      <c r="Q24" s="236" t="s">
        <v>21</v>
      </c>
      <c r="R24" s="37">
        <v>37.5</v>
      </c>
      <c r="S24" s="36">
        <v>13.261147250757963</v>
      </c>
      <c r="T24" s="35">
        <v>3</v>
      </c>
      <c r="V24" s="35">
        <v>37</v>
      </c>
      <c r="W24" s="264">
        <f t="shared" si="0"/>
        <v>1.0000000000000009E-2</v>
      </c>
      <c r="X24" s="35">
        <v>0</v>
      </c>
      <c r="Y24" s="35">
        <v>0</v>
      </c>
      <c r="Z24" s="34">
        <v>0</v>
      </c>
      <c r="AA24" s="35">
        <f t="shared" si="1"/>
        <v>0</v>
      </c>
    </row>
    <row r="25" spans="1:28">
      <c r="A25" s="12">
        <v>38</v>
      </c>
      <c r="B25" s="54"/>
      <c r="C25" s="213">
        <v>103</v>
      </c>
      <c r="D25" s="182">
        <v>103</v>
      </c>
      <c r="E25" s="166">
        <v>1.03</v>
      </c>
      <c r="F25" s="11">
        <v>1.03</v>
      </c>
      <c r="G25" s="11">
        <v>1.02</v>
      </c>
      <c r="H25" s="11">
        <v>1.03</v>
      </c>
      <c r="I25" s="199"/>
      <c r="J25" s="165"/>
      <c r="K25" s="166">
        <v>26.09</v>
      </c>
      <c r="L25" s="165">
        <v>25.94</v>
      </c>
      <c r="M25" s="233"/>
      <c r="N25" s="232"/>
      <c r="O25" s="232"/>
      <c r="P25" s="231"/>
      <c r="Q25" s="236" t="s">
        <v>21</v>
      </c>
      <c r="R25" s="37">
        <v>36.6</v>
      </c>
      <c r="S25" s="36">
        <v>13.29346510553261</v>
      </c>
      <c r="T25" s="35">
        <v>3</v>
      </c>
      <c r="V25" s="35">
        <v>38</v>
      </c>
      <c r="W25" s="264">
        <f t="shared" si="0"/>
        <v>1.0000000000000009E-2</v>
      </c>
      <c r="X25" s="35">
        <v>0</v>
      </c>
      <c r="Y25" s="35">
        <v>0</v>
      </c>
      <c r="Z25" s="34">
        <v>0</v>
      </c>
      <c r="AA25" s="35">
        <f t="shared" si="1"/>
        <v>0</v>
      </c>
    </row>
    <row r="26" spans="1:28">
      <c r="A26" s="12">
        <v>39</v>
      </c>
      <c r="B26" s="54"/>
      <c r="C26" s="213">
        <v>102</v>
      </c>
      <c r="D26" s="182">
        <v>102</v>
      </c>
      <c r="E26" s="166">
        <v>1.05</v>
      </c>
      <c r="F26" s="11">
        <v>1.04</v>
      </c>
      <c r="G26" s="11">
        <v>1.05</v>
      </c>
      <c r="H26" s="11">
        <v>1.04</v>
      </c>
      <c r="I26" s="199"/>
      <c r="J26" s="165"/>
      <c r="K26" s="166">
        <v>26.08</v>
      </c>
      <c r="L26" s="165">
        <v>25.94</v>
      </c>
      <c r="M26" s="233"/>
      <c r="N26" s="232"/>
      <c r="O26" s="232"/>
      <c r="P26" s="231"/>
      <c r="Q26" s="236" t="s">
        <v>19</v>
      </c>
      <c r="R26" s="37">
        <v>36.9</v>
      </c>
      <c r="S26" s="36">
        <v>13.309739385563999</v>
      </c>
      <c r="T26" s="35">
        <v>3</v>
      </c>
      <c r="V26" s="35">
        <v>39</v>
      </c>
      <c r="W26" s="264">
        <f t="shared" si="0"/>
        <v>1.0000000000000009E-2</v>
      </c>
      <c r="X26" s="35">
        <v>0</v>
      </c>
      <c r="Y26" s="35">
        <v>0</v>
      </c>
      <c r="Z26" s="34">
        <v>0</v>
      </c>
      <c r="AA26" s="35">
        <f t="shared" si="1"/>
        <v>0</v>
      </c>
    </row>
    <row r="27" spans="1:28">
      <c r="A27" s="12">
        <v>40</v>
      </c>
      <c r="B27" s="54"/>
      <c r="C27" s="213">
        <v>103</v>
      </c>
      <c r="D27" s="182">
        <v>103</v>
      </c>
      <c r="E27" s="166">
        <v>1.02</v>
      </c>
      <c r="F27" s="11">
        <v>1.01</v>
      </c>
      <c r="G27" s="11">
        <v>1.02</v>
      </c>
      <c r="H27" s="11">
        <v>1.01</v>
      </c>
      <c r="I27" s="199"/>
      <c r="J27" s="165"/>
      <c r="K27" s="166">
        <v>26.09</v>
      </c>
      <c r="L27" s="165">
        <v>26.03</v>
      </c>
      <c r="M27" s="233"/>
      <c r="N27" s="232"/>
      <c r="O27" s="232"/>
      <c r="P27" s="231"/>
      <c r="Q27" s="230"/>
      <c r="R27" s="37">
        <v>36.4</v>
      </c>
      <c r="S27" s="36">
        <v>13.360530577501224</v>
      </c>
      <c r="T27" s="35">
        <v>3</v>
      </c>
      <c r="V27" s="35">
        <v>40</v>
      </c>
      <c r="W27" s="264">
        <f t="shared" si="0"/>
        <v>1.0000000000000009E-2</v>
      </c>
      <c r="X27" s="35">
        <v>0</v>
      </c>
      <c r="Y27" s="35">
        <v>0</v>
      </c>
      <c r="Z27" s="34">
        <v>0</v>
      </c>
      <c r="AA27" s="35">
        <f t="shared" si="1"/>
        <v>0</v>
      </c>
    </row>
    <row r="28" spans="1:28">
      <c r="A28" s="12">
        <v>41</v>
      </c>
      <c r="B28" s="54"/>
      <c r="C28" s="213">
        <v>103</v>
      </c>
      <c r="D28" s="182">
        <v>103</v>
      </c>
      <c r="E28" s="166">
        <v>1.02</v>
      </c>
      <c r="F28" s="11">
        <v>1.01</v>
      </c>
      <c r="G28" s="11">
        <v>1.02</v>
      </c>
      <c r="H28" s="11">
        <v>1.01</v>
      </c>
      <c r="I28" s="199"/>
      <c r="J28" s="165"/>
      <c r="K28" s="166">
        <v>26.06</v>
      </c>
      <c r="L28" s="165">
        <v>26.08</v>
      </c>
      <c r="M28" s="233" t="s">
        <v>20</v>
      </c>
      <c r="N28" s="232"/>
      <c r="O28" s="232"/>
      <c r="P28" s="231"/>
      <c r="Q28" s="236" t="s">
        <v>21</v>
      </c>
      <c r="R28" s="37">
        <v>36.5</v>
      </c>
      <c r="S28" s="36">
        <v>13.392096384642139</v>
      </c>
      <c r="T28" s="35">
        <v>3</v>
      </c>
      <c r="V28" s="35">
        <v>41</v>
      </c>
      <c r="W28" s="264">
        <f t="shared" si="0"/>
        <v>1.0000000000000009E-2</v>
      </c>
      <c r="X28" s="35">
        <v>0</v>
      </c>
      <c r="Y28" s="35">
        <v>0</v>
      </c>
      <c r="Z28" s="34">
        <v>0</v>
      </c>
      <c r="AA28" s="35">
        <f t="shared" si="1"/>
        <v>0</v>
      </c>
    </row>
    <row r="29" spans="1:28">
      <c r="A29" s="44">
        <v>42</v>
      </c>
      <c r="B29" s="54"/>
      <c r="C29" s="213">
        <v>102</v>
      </c>
      <c r="D29" s="182">
        <v>103</v>
      </c>
      <c r="E29" s="166">
        <v>1.05</v>
      </c>
      <c r="F29" s="11">
        <v>1.05</v>
      </c>
      <c r="G29" s="11">
        <v>1.06</v>
      </c>
      <c r="H29" s="11">
        <v>1.08</v>
      </c>
      <c r="I29" s="199"/>
      <c r="J29" s="165"/>
      <c r="K29" s="166">
        <v>26.07</v>
      </c>
      <c r="L29" s="165">
        <v>26.04</v>
      </c>
      <c r="M29" s="233"/>
      <c r="N29" s="232" t="s">
        <v>20</v>
      </c>
      <c r="O29" s="232"/>
      <c r="P29" s="231"/>
      <c r="Q29" s="236" t="s">
        <v>19</v>
      </c>
      <c r="R29" s="37">
        <v>37.700000000000003</v>
      </c>
      <c r="S29" s="36">
        <v>13.317433659884225</v>
      </c>
      <c r="T29" s="35">
        <v>3</v>
      </c>
      <c r="V29" s="172">
        <v>42</v>
      </c>
      <c r="W29" s="264">
        <f t="shared" si="0"/>
        <v>3.0000000000000027E-2</v>
      </c>
      <c r="X29" s="35">
        <v>0</v>
      </c>
      <c r="Y29" s="35">
        <v>0</v>
      </c>
      <c r="Z29" s="34">
        <v>0</v>
      </c>
      <c r="AA29" s="35">
        <f t="shared" si="1"/>
        <v>0</v>
      </c>
      <c r="AB29" t="s">
        <v>58</v>
      </c>
    </row>
    <row r="30" spans="1:28" s="71" customFormat="1">
      <c r="A30" s="71">
        <v>43</v>
      </c>
      <c r="B30" s="74"/>
      <c r="C30" s="210">
        <v>102</v>
      </c>
      <c r="D30" s="209">
        <v>102</v>
      </c>
      <c r="E30" s="157">
        <v>1.02</v>
      </c>
      <c r="F30" s="197">
        <v>1.01</v>
      </c>
      <c r="G30" s="197">
        <v>1.02</v>
      </c>
      <c r="H30" s="197">
        <v>1.02</v>
      </c>
      <c r="I30" s="196"/>
      <c r="J30" s="156"/>
      <c r="K30" s="157">
        <v>26.01</v>
      </c>
      <c r="L30" s="156">
        <v>26.07</v>
      </c>
      <c r="M30" s="220"/>
      <c r="Q30" s="263" t="s">
        <v>19</v>
      </c>
      <c r="R30" s="21">
        <v>36.5</v>
      </c>
      <c r="S30" s="20">
        <v>13.505706105326599</v>
      </c>
      <c r="T30" s="19">
        <v>3</v>
      </c>
      <c r="V30" s="19">
        <v>43</v>
      </c>
      <c r="W30" s="262">
        <f t="shared" si="0"/>
        <v>1.0000000000000009E-2</v>
      </c>
      <c r="X30" s="19">
        <v>0</v>
      </c>
      <c r="Y30" s="19">
        <v>0</v>
      </c>
      <c r="Z30" s="18">
        <v>0</v>
      </c>
      <c r="AA30" s="19">
        <f t="shared" si="1"/>
        <v>0</v>
      </c>
    </row>
    <row r="31" spans="1:28">
      <c r="Y31" s="1">
        <f>SUM(Y12:Y30)</f>
        <v>0</v>
      </c>
      <c r="Z31" s="1">
        <f>SUM(Z12:Z30)</f>
        <v>0</v>
      </c>
      <c r="AA31" s="1">
        <f>SUM(AA12:AA30)</f>
        <v>0</v>
      </c>
    </row>
    <row r="33" spans="1:19">
      <c r="A33" s="12" t="s">
        <v>17</v>
      </c>
      <c r="C33" s="1" t="s">
        <v>16</v>
      </c>
      <c r="E33" s="1" t="s">
        <v>15</v>
      </c>
      <c r="K33" s="1" t="s">
        <v>14</v>
      </c>
      <c r="R33" s="1" t="s">
        <v>13</v>
      </c>
      <c r="S33" s="1" t="s">
        <v>12</v>
      </c>
    </row>
    <row r="35" spans="1:19">
      <c r="A35" s="1" t="s">
        <v>11</v>
      </c>
      <c r="C35" s="1">
        <f>4*25.4</f>
        <v>101.6</v>
      </c>
      <c r="E35" s="1">
        <f>C6</f>
        <v>1.016</v>
      </c>
      <c r="K35" s="11">
        <v>25.4</v>
      </c>
    </row>
    <row r="36" spans="1:19">
      <c r="A36" s="1" t="s">
        <v>10</v>
      </c>
      <c r="C36" s="1">
        <f>MODE(C12:D30)</f>
        <v>103</v>
      </c>
      <c r="E36" s="1">
        <f>MODE(E12:H30)</f>
        <v>1.02</v>
      </c>
      <c r="K36" s="1">
        <f>MODE(K12:L30)</f>
        <v>26.07</v>
      </c>
      <c r="R36" s="1">
        <f>MODE(R12:R30)</f>
        <v>36.5</v>
      </c>
      <c r="S36" s="1">
        <f>MODE(S12:S30)</f>
        <v>13.360530577501224</v>
      </c>
    </row>
    <row r="37" spans="1:19">
      <c r="A37" s="1" t="s">
        <v>9</v>
      </c>
      <c r="C37" s="10">
        <f>AVERAGE(C12:D30)</f>
        <v>102.65789473684211</v>
      </c>
      <c r="E37" s="7">
        <f>AVERAGE(E12:H30)</f>
        <v>1.0264473684210529</v>
      </c>
      <c r="K37" s="6">
        <f>AVERAGE(K12:L30)</f>
        <v>26.038421052631588</v>
      </c>
      <c r="R37" s="9">
        <f>AVERAGE(R12:R30)</f>
        <v>36.752631578947366</v>
      </c>
      <c r="S37" s="9">
        <f>AVERAGE(S12:S30)</f>
        <v>13.395831007501533</v>
      </c>
    </row>
    <row r="38" spans="1:19">
      <c r="A38" s="1" t="s">
        <v>8</v>
      </c>
      <c r="C38" s="1">
        <f>STDEV(C12:D30)</f>
        <v>0.48078290821993175</v>
      </c>
      <c r="D38" s="248"/>
      <c r="E38" s="1">
        <f>STDEV(E12:H30)</f>
        <v>1.5807504324922908E-2</v>
      </c>
      <c r="K38" s="1">
        <f>STDEV(K12:L30)</f>
        <v>5.2992927411294459E-2</v>
      </c>
      <c r="R38" s="1">
        <f>STDEV(R12:R30)</f>
        <v>0.43635920607355844</v>
      </c>
      <c r="S38" s="1">
        <f>STDEV(S12:S30)</f>
        <v>8.190344560764605E-2</v>
      </c>
    </row>
    <row r="39" spans="1:19">
      <c r="A39" s="8" t="s">
        <v>7</v>
      </c>
      <c r="D39" s="248"/>
      <c r="E39" s="7">
        <f>E37+E38</f>
        <v>1.0422548727459757</v>
      </c>
      <c r="K39" s="6">
        <f>K37+K38</f>
        <v>26.091413980042883</v>
      </c>
      <c r="R39" s="1">
        <f>R37+R38</f>
        <v>37.188990785020927</v>
      </c>
      <c r="S39" s="9">
        <f>S37+S38</f>
        <v>13.477734453109179</v>
      </c>
    </row>
    <row r="40" spans="1:19">
      <c r="A40" s="8" t="s">
        <v>6</v>
      </c>
      <c r="D40" s="248"/>
      <c r="E40" s="7">
        <f>E37-E38</f>
        <v>1.01063986409613</v>
      </c>
      <c r="K40" s="6">
        <f>K37-K38</f>
        <v>25.985428125220292</v>
      </c>
      <c r="R40" s="1">
        <f>R37-R38</f>
        <v>36.316272372873804</v>
      </c>
      <c r="S40" s="9">
        <f>S37-S38</f>
        <v>13.313927561893887</v>
      </c>
    </row>
    <row r="41" spans="1:19">
      <c r="A41" s="1" t="s">
        <v>72</v>
      </c>
      <c r="C41" s="6">
        <f>MAX(C12:D30)-C35</f>
        <v>1.4000000000000057</v>
      </c>
      <c r="E41" s="7">
        <f>MAX(E12:H30)-E35</f>
        <v>6.4000000000000057E-2</v>
      </c>
      <c r="K41" s="6">
        <f>MAX(K12:L30)-$K35</f>
        <v>0.70000000000000284</v>
      </c>
    </row>
    <row r="42" spans="1:19">
      <c r="A42" s="1" t="s">
        <v>71</v>
      </c>
      <c r="C42" s="6">
        <f>MIN(C12:D30)-C35</f>
        <v>0.40000000000000568</v>
      </c>
      <c r="E42" s="7">
        <f>MIN(E12:H30)-E35</f>
        <v>-1.6000000000000014E-2</v>
      </c>
      <c r="K42" s="6">
        <f>MIN(K12:L30)-K35</f>
        <v>0.52000000000000313</v>
      </c>
    </row>
    <row r="43" spans="1:19" ht="15" thickBot="1"/>
    <row r="44" spans="1:19">
      <c r="A44" s="1" t="s">
        <v>3</v>
      </c>
      <c r="C44" s="5" t="s">
        <v>2</v>
      </c>
      <c r="D44" s="5" t="s">
        <v>1</v>
      </c>
    </row>
    <row r="45" spans="1:19">
      <c r="A45" s="1">
        <v>0.94</v>
      </c>
      <c r="C45" s="4">
        <v>0.94</v>
      </c>
      <c r="D45" s="3">
        <v>0</v>
      </c>
    </row>
    <row r="46" spans="1:19">
      <c r="A46" s="1">
        <f t="shared" ref="A46:A60" si="2">A45+0.01</f>
        <v>0.95</v>
      </c>
      <c r="C46" s="4">
        <v>0.95</v>
      </c>
      <c r="D46" s="3">
        <v>0</v>
      </c>
    </row>
    <row r="47" spans="1:19">
      <c r="A47" s="1">
        <f t="shared" si="2"/>
        <v>0.96</v>
      </c>
      <c r="C47" s="4">
        <v>0.96</v>
      </c>
      <c r="D47" s="3">
        <v>0</v>
      </c>
    </row>
    <row r="48" spans="1:19">
      <c r="A48" s="1">
        <f t="shared" si="2"/>
        <v>0.97</v>
      </c>
      <c r="C48" s="4">
        <v>0.97</v>
      </c>
      <c r="D48" s="3">
        <v>0</v>
      </c>
    </row>
    <row r="49" spans="1:4">
      <c r="A49" s="1">
        <f t="shared" si="2"/>
        <v>0.98</v>
      </c>
      <c r="C49" s="4">
        <v>0.98</v>
      </c>
      <c r="D49" s="3">
        <v>0</v>
      </c>
    </row>
    <row r="50" spans="1:4">
      <c r="A50" s="1">
        <f t="shared" si="2"/>
        <v>0.99</v>
      </c>
      <c r="C50" s="4">
        <v>0.99</v>
      </c>
      <c r="D50" s="3">
        <v>0</v>
      </c>
    </row>
    <row r="51" spans="1:4">
      <c r="A51" s="1">
        <f t="shared" si="2"/>
        <v>1</v>
      </c>
      <c r="C51" s="4">
        <v>1</v>
      </c>
      <c r="D51" s="3">
        <v>2</v>
      </c>
    </row>
    <row r="52" spans="1:4">
      <c r="A52" s="1">
        <f t="shared" si="2"/>
        <v>1.01</v>
      </c>
      <c r="C52" s="4">
        <v>1.01</v>
      </c>
      <c r="D52" s="3">
        <v>15</v>
      </c>
    </row>
    <row r="53" spans="1:4">
      <c r="A53" s="1">
        <f t="shared" si="2"/>
        <v>1.02</v>
      </c>
      <c r="C53" s="4">
        <v>1.02</v>
      </c>
      <c r="D53" s="3">
        <v>29</v>
      </c>
    </row>
    <row r="54" spans="1:4">
      <c r="A54" s="1">
        <f t="shared" si="2"/>
        <v>1.03</v>
      </c>
      <c r="C54" s="4">
        <v>1.03</v>
      </c>
      <c r="D54" s="3">
        <v>10</v>
      </c>
    </row>
    <row r="55" spans="1:4">
      <c r="A55" s="1">
        <f t="shared" si="2"/>
        <v>1.04</v>
      </c>
      <c r="C55" s="4">
        <v>1.04</v>
      </c>
      <c r="D55" s="3">
        <v>7</v>
      </c>
    </row>
    <row r="56" spans="1:4">
      <c r="A56" s="1">
        <f t="shared" si="2"/>
        <v>1.05</v>
      </c>
      <c r="C56" s="4">
        <v>1.05</v>
      </c>
      <c r="D56" s="3">
        <v>10</v>
      </c>
    </row>
    <row r="57" spans="1:4">
      <c r="A57" s="1">
        <f t="shared" si="2"/>
        <v>1.06</v>
      </c>
      <c r="C57" s="4">
        <v>1.06</v>
      </c>
      <c r="D57" s="3">
        <v>2</v>
      </c>
    </row>
    <row r="58" spans="1:4">
      <c r="A58" s="1">
        <f t="shared" si="2"/>
        <v>1.07</v>
      </c>
      <c r="C58" s="4">
        <v>1.07</v>
      </c>
      <c r="D58" s="3">
        <v>0</v>
      </c>
    </row>
    <row r="59" spans="1:4">
      <c r="A59" s="1">
        <f t="shared" si="2"/>
        <v>1.08</v>
      </c>
      <c r="C59" s="4">
        <v>1.08</v>
      </c>
      <c r="D59" s="3">
        <v>1</v>
      </c>
    </row>
    <row r="60" spans="1:4">
      <c r="A60" s="1">
        <f t="shared" si="2"/>
        <v>1.0900000000000001</v>
      </c>
      <c r="C60" s="4">
        <v>1.0900000000000001</v>
      </c>
      <c r="D60" s="3">
        <v>0</v>
      </c>
    </row>
    <row r="61" spans="1:4" ht="15" thickBot="1">
      <c r="C61" s="2" t="s">
        <v>0</v>
      </c>
      <c r="D61" s="2">
        <v>0</v>
      </c>
    </row>
  </sheetData>
  <mergeCells count="4">
    <mergeCell ref="C9:D9"/>
    <mergeCell ref="E9:I9"/>
    <mergeCell ref="K9:L9"/>
    <mergeCell ref="M9:P9"/>
  </mergeCells>
  <phoneticPr fontId="16" type="noConversion"/>
  <pageMargins left="0.25" right="0.25" top="0.25" bottom="0.25" header="0.3" footer="0.3"/>
  <pageSetup orientation="landscape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79"/>
  <sheetViews>
    <sheetView topLeftCell="A7" zoomScale="70" zoomScaleNormal="70" zoomScalePageLayoutView="70" workbookViewId="0">
      <selection activeCell="AC32" sqref="AC32"/>
    </sheetView>
  </sheetViews>
  <sheetFormatPr baseColWidth="10" defaultColWidth="8.83203125" defaultRowHeight="14" x14ac:dyDescent="0"/>
  <cols>
    <col min="1" max="1" width="6.33203125" style="1" customWidth="1"/>
    <col min="2" max="2" width="16.1640625" style="1" customWidth="1"/>
    <col min="3" max="4" width="5.1640625" style="1" customWidth="1"/>
    <col min="5" max="9" width="6.83203125" style="1" customWidth="1"/>
    <col min="10" max="10" width="6.83203125" style="1" bestFit="1" customWidth="1"/>
    <col min="11" max="12" width="6.83203125" style="1" customWidth="1"/>
    <col min="13" max="16" width="3.6640625" style="1" customWidth="1"/>
    <col min="17" max="17" width="6.5" style="1" customWidth="1"/>
    <col min="18" max="18" width="5.5" style="1" customWidth="1"/>
    <col min="19" max="19" width="5.1640625" style="1" customWidth="1"/>
    <col min="20" max="20" width="9.83203125" style="1" customWidth="1"/>
    <col min="21" max="25" width="8.83203125" style="1"/>
    <col min="26" max="26" width="9.5" style="1" bestFit="1" customWidth="1"/>
    <col min="27" max="16384" width="8.83203125" style="1"/>
  </cols>
  <sheetData>
    <row r="1" spans="1:28">
      <c r="A1" s="1" t="s">
        <v>49</v>
      </c>
      <c r="B1" s="79"/>
    </row>
    <row r="2" spans="1:28">
      <c r="A2" s="1" t="s">
        <v>48</v>
      </c>
      <c r="B2" s="79"/>
    </row>
    <row r="3" spans="1:28">
      <c r="A3" s="1" t="s">
        <v>47</v>
      </c>
      <c r="B3" s="79"/>
    </row>
    <row r="4" spans="1:28">
      <c r="B4" s="79"/>
    </row>
    <row r="5" spans="1:28">
      <c r="B5" s="1" t="s">
        <v>46</v>
      </c>
      <c r="C5" s="1" t="s">
        <v>45</v>
      </c>
    </row>
    <row r="6" spans="1:28">
      <c r="A6" s="1" t="s">
        <v>93</v>
      </c>
      <c r="B6" s="79">
        <v>0.05</v>
      </c>
      <c r="C6" s="79">
        <f>B6*25.4</f>
        <v>1.27</v>
      </c>
      <c r="D6" s="79"/>
      <c r="E6" s="79"/>
      <c r="F6" s="79"/>
      <c r="G6" s="79"/>
      <c r="H6" s="79"/>
      <c r="I6" s="79"/>
      <c r="J6" s="79"/>
      <c r="K6" s="78"/>
      <c r="L6" s="80"/>
      <c r="M6" s="79"/>
      <c r="N6" s="79"/>
      <c r="O6" s="79"/>
      <c r="P6" s="79"/>
      <c r="Q6" s="79"/>
      <c r="R6" s="78"/>
      <c r="S6" s="78"/>
      <c r="T6" s="78"/>
    </row>
    <row r="7" spans="1:28">
      <c r="B7" s="79"/>
      <c r="C7" s="79"/>
      <c r="D7" s="79"/>
      <c r="E7" s="79"/>
      <c r="F7" s="79"/>
      <c r="G7" s="79"/>
      <c r="H7" s="79"/>
      <c r="I7" s="79"/>
      <c r="J7" s="79"/>
      <c r="K7" s="78"/>
      <c r="L7" s="80"/>
      <c r="M7" s="79"/>
      <c r="N7" s="79"/>
      <c r="O7" s="79"/>
      <c r="P7" s="79"/>
      <c r="Q7" s="79"/>
      <c r="R7" s="78"/>
      <c r="S7" s="78"/>
      <c r="T7" s="78"/>
    </row>
    <row r="8" spans="1:28">
      <c r="A8" s="77" t="s">
        <v>54</v>
      </c>
      <c r="B8" s="79"/>
      <c r="C8" s="79"/>
      <c r="D8" s="79"/>
      <c r="E8" s="79"/>
      <c r="F8" s="79"/>
      <c r="G8" s="79"/>
      <c r="H8" s="79"/>
      <c r="I8" s="79"/>
      <c r="J8" s="79"/>
      <c r="K8" s="80"/>
      <c r="L8" s="80"/>
      <c r="M8" s="79"/>
      <c r="N8" s="79"/>
      <c r="O8" s="79"/>
      <c r="P8" s="79"/>
      <c r="Q8" s="79"/>
      <c r="R8" s="78"/>
      <c r="S8" s="78"/>
      <c r="T8" s="78"/>
      <c r="V8" s="221" t="s">
        <v>42</v>
      </c>
      <c r="Y8" s="221"/>
    </row>
    <row r="9" spans="1:28" ht="42">
      <c r="A9" s="71" t="s">
        <v>32</v>
      </c>
      <c r="B9" s="261" t="s">
        <v>41</v>
      </c>
      <c r="C9" s="386" t="s">
        <v>40</v>
      </c>
      <c r="D9" s="387"/>
      <c r="E9" s="385" t="s">
        <v>39</v>
      </c>
      <c r="F9" s="385"/>
      <c r="G9" s="385"/>
      <c r="H9" s="385"/>
      <c r="I9" s="385"/>
      <c r="J9" s="75"/>
      <c r="K9" s="386" t="s">
        <v>38</v>
      </c>
      <c r="L9" s="387"/>
      <c r="M9" s="386" t="s">
        <v>37</v>
      </c>
      <c r="N9" s="384"/>
      <c r="O9" s="384"/>
      <c r="P9" s="384"/>
      <c r="Q9" s="74" t="s">
        <v>36</v>
      </c>
      <c r="R9" s="204" t="s">
        <v>70</v>
      </c>
      <c r="S9" s="203" t="s">
        <v>69</v>
      </c>
      <c r="T9" s="19" t="s">
        <v>33</v>
      </c>
      <c r="V9" s="19" t="s">
        <v>32</v>
      </c>
      <c r="W9" s="253" t="s">
        <v>58</v>
      </c>
      <c r="X9" s="69" t="s">
        <v>31</v>
      </c>
      <c r="Y9" s="68" t="s">
        <v>30</v>
      </c>
      <c r="Z9" s="19" t="s">
        <v>29</v>
      </c>
      <c r="AA9" s="67" t="s">
        <v>51</v>
      </c>
      <c r="AB9" s="67" t="s">
        <v>27</v>
      </c>
    </row>
    <row r="10" spans="1:28" s="10" customFormat="1">
      <c r="A10" s="12"/>
      <c r="B10" s="187"/>
      <c r="C10" s="177">
        <v>1</v>
      </c>
      <c r="D10" s="187">
        <v>2</v>
      </c>
      <c r="E10" s="219">
        <v>1</v>
      </c>
      <c r="F10" s="218">
        <v>2</v>
      </c>
      <c r="G10" s="218">
        <v>3</v>
      </c>
      <c r="H10" s="218">
        <v>4</v>
      </c>
      <c r="I10" s="218">
        <v>5</v>
      </c>
      <c r="J10" s="217">
        <v>6</v>
      </c>
      <c r="K10" s="219">
        <v>1</v>
      </c>
      <c r="L10" s="217">
        <v>2</v>
      </c>
      <c r="M10" s="219">
        <v>1</v>
      </c>
      <c r="N10" s="218">
        <v>2</v>
      </c>
      <c r="O10" s="218">
        <v>3</v>
      </c>
      <c r="P10" s="218">
        <v>4</v>
      </c>
      <c r="Q10" s="217"/>
      <c r="R10" s="216"/>
      <c r="S10" s="215"/>
      <c r="T10" s="35"/>
      <c r="V10" s="35"/>
      <c r="W10" s="35"/>
      <c r="X10" s="59"/>
      <c r="Y10" s="59"/>
      <c r="Z10" s="59"/>
      <c r="AA10" s="59"/>
    </row>
    <row r="11" spans="1:28">
      <c r="A11" s="12"/>
      <c r="B11" s="187"/>
      <c r="C11" s="177"/>
      <c r="D11" s="187"/>
      <c r="E11" s="177"/>
      <c r="F11" s="55"/>
      <c r="G11" s="55"/>
      <c r="H11" s="55"/>
      <c r="I11" s="55"/>
      <c r="J11" s="187"/>
      <c r="K11" s="122"/>
      <c r="L11" s="121"/>
      <c r="M11" s="177"/>
      <c r="N11" s="55"/>
      <c r="O11" s="55"/>
      <c r="P11" s="55"/>
      <c r="Q11" s="187"/>
      <c r="R11" s="37"/>
      <c r="S11" s="53"/>
      <c r="T11" s="35"/>
      <c r="V11" s="35"/>
      <c r="W11" s="35"/>
      <c r="X11" s="52"/>
      <c r="Y11" s="35"/>
      <c r="Z11" s="35"/>
      <c r="AA11" s="35"/>
    </row>
    <row r="12" spans="1:28">
      <c r="A12" s="25">
        <v>0</v>
      </c>
      <c r="B12" s="123"/>
      <c r="C12" s="41">
        <v>205</v>
      </c>
      <c r="D12" s="167">
        <v>204</v>
      </c>
      <c r="E12" s="166">
        <v>1.35</v>
      </c>
      <c r="F12" s="11">
        <v>1.36</v>
      </c>
      <c r="G12" s="11">
        <v>1.34</v>
      </c>
      <c r="H12" s="11">
        <v>1.34</v>
      </c>
      <c r="I12" s="11">
        <v>1.3</v>
      </c>
      <c r="J12" s="165">
        <v>1.32</v>
      </c>
      <c r="K12" s="166">
        <v>25.75</v>
      </c>
      <c r="L12" s="165">
        <v>25.53</v>
      </c>
      <c r="M12" s="177"/>
      <c r="N12" s="55"/>
      <c r="O12" s="55"/>
      <c r="P12" s="55"/>
      <c r="Q12" s="274" t="s">
        <v>19</v>
      </c>
      <c r="R12" s="277">
        <v>95</v>
      </c>
      <c r="S12" s="36">
        <f t="shared" ref="S12:S32" si="0">R12/(AVERAGE(C12:D12)*AVERAGE(E12:J12)*AVERAGE(K12:L12)*0.001)</f>
        <v>13.571598604171083</v>
      </c>
      <c r="T12" s="35">
        <v>1</v>
      </c>
      <c r="V12" s="254">
        <v>0</v>
      </c>
      <c r="W12" s="265">
        <f t="shared" ref="W12:W32" si="1">MAX(E12:J12)-MIN(E12:J12)</f>
        <v>6.0000000000000053E-2</v>
      </c>
      <c r="X12" s="35">
        <f t="shared" ref="X12:X32" si="2">IF(OR(ABS(E12-$C$6)&gt;($C$6*0.1),ABS(F12-$C$6)&gt;($C$6*0.1),ABS(G12-$C$6)&gt;($C$6*0.1),ABS(H12-$C$6)&gt;($C$6*0.1),ABS(I12-$C$6)&gt;($C$6*0.1),ABS(J12-$C$6)&gt;($C$6*0.1)),1,0)</f>
        <v>0</v>
      </c>
      <c r="Y12" s="35">
        <v>0</v>
      </c>
      <c r="Z12" s="34">
        <v>0</v>
      </c>
      <c r="AA12" s="35">
        <f t="shared" ref="AA12:AA32" si="3">IF(OR(M12="Y",N12="Y",O12="Y",P12="Y"),1,0)</f>
        <v>0</v>
      </c>
    </row>
    <row r="13" spans="1:28">
      <c r="A13" s="12">
        <v>1</v>
      </c>
      <c r="B13" s="187"/>
      <c r="C13" s="213">
        <v>205</v>
      </c>
      <c r="D13" s="182">
        <v>205</v>
      </c>
      <c r="E13" s="122">
        <v>1.32</v>
      </c>
      <c r="F13" s="47">
        <v>1.32</v>
      </c>
      <c r="G13" s="47">
        <v>1.32</v>
      </c>
      <c r="H13" s="47">
        <v>1.32</v>
      </c>
      <c r="I13" s="47">
        <v>1.27</v>
      </c>
      <c r="J13" s="121">
        <v>1.28</v>
      </c>
      <c r="K13" s="166">
        <v>26.12</v>
      </c>
      <c r="L13" s="165">
        <v>26.25</v>
      </c>
      <c r="M13" s="276"/>
      <c r="N13" s="275"/>
      <c r="O13" s="275"/>
      <c r="P13" s="271"/>
      <c r="Q13" s="274" t="s">
        <v>19</v>
      </c>
      <c r="R13" s="37">
        <v>94.6</v>
      </c>
      <c r="S13" s="36">
        <f t="shared" si="0"/>
        <v>13.504365552040811</v>
      </c>
      <c r="T13" s="35">
        <v>3</v>
      </c>
      <c r="V13" s="35">
        <v>1</v>
      </c>
      <c r="W13" s="265">
        <f t="shared" si="1"/>
        <v>5.0000000000000044E-2</v>
      </c>
      <c r="X13" s="35">
        <f t="shared" si="2"/>
        <v>0</v>
      </c>
      <c r="Y13" s="35">
        <v>0</v>
      </c>
      <c r="Z13" s="34">
        <v>0</v>
      </c>
      <c r="AA13" s="35">
        <f t="shared" si="3"/>
        <v>0</v>
      </c>
    </row>
    <row r="14" spans="1:28">
      <c r="A14" s="12">
        <f t="shared" ref="A14:A32" si="4">A13+1</f>
        <v>2</v>
      </c>
      <c r="B14" s="187"/>
      <c r="C14" s="213">
        <v>204</v>
      </c>
      <c r="D14" s="182">
        <v>204</v>
      </c>
      <c r="E14" s="122">
        <v>1.33</v>
      </c>
      <c r="F14" s="47">
        <v>1.34</v>
      </c>
      <c r="G14" s="47">
        <v>1.33</v>
      </c>
      <c r="H14" s="47">
        <v>1.34</v>
      </c>
      <c r="I14" s="47">
        <v>1.29</v>
      </c>
      <c r="J14" s="121">
        <v>1.28</v>
      </c>
      <c r="K14" s="166">
        <v>25.97</v>
      </c>
      <c r="L14" s="165">
        <v>26.2</v>
      </c>
      <c r="M14" s="276"/>
      <c r="N14" s="275"/>
      <c r="O14" s="275"/>
      <c r="P14" s="271"/>
      <c r="Q14" s="274" t="s">
        <v>21</v>
      </c>
      <c r="R14" s="37">
        <v>94.8</v>
      </c>
      <c r="S14" s="36">
        <f t="shared" si="0"/>
        <v>13.513321076979189</v>
      </c>
      <c r="T14" s="35">
        <v>3</v>
      </c>
      <c r="V14" s="35">
        <f t="shared" ref="V14:V32" si="5">V13+1</f>
        <v>2</v>
      </c>
      <c r="W14" s="265">
        <f t="shared" si="1"/>
        <v>6.0000000000000053E-2</v>
      </c>
      <c r="X14" s="35">
        <f t="shared" si="2"/>
        <v>0</v>
      </c>
      <c r="Y14" s="35">
        <v>0</v>
      </c>
      <c r="Z14" s="34">
        <v>0</v>
      </c>
      <c r="AA14" s="35">
        <f t="shared" si="3"/>
        <v>0</v>
      </c>
    </row>
    <row r="15" spans="1:28">
      <c r="A15" s="12">
        <f t="shared" si="4"/>
        <v>3</v>
      </c>
      <c r="B15" s="187"/>
      <c r="C15" s="213">
        <v>204</v>
      </c>
      <c r="D15" s="182">
        <v>204</v>
      </c>
      <c r="E15" s="122">
        <v>1.36</v>
      </c>
      <c r="F15" s="47">
        <v>1.35</v>
      </c>
      <c r="G15" s="47">
        <v>1.31</v>
      </c>
      <c r="H15" s="47">
        <v>1.31</v>
      </c>
      <c r="I15" s="47">
        <v>1.29</v>
      </c>
      <c r="J15" s="121">
        <v>1.29</v>
      </c>
      <c r="K15" s="166">
        <v>25.89</v>
      </c>
      <c r="L15" s="165">
        <v>26.21</v>
      </c>
      <c r="M15" s="276"/>
      <c r="N15" s="275"/>
      <c r="O15" s="275"/>
      <c r="P15" s="271"/>
      <c r="Q15" s="274" t="s">
        <v>21</v>
      </c>
      <c r="R15" s="37">
        <v>94.2</v>
      </c>
      <c r="S15" s="36">
        <f t="shared" si="0"/>
        <v>13.445834909983562</v>
      </c>
      <c r="T15" s="35">
        <v>3</v>
      </c>
      <c r="V15" s="35">
        <f t="shared" si="5"/>
        <v>3</v>
      </c>
      <c r="W15" s="265">
        <f t="shared" si="1"/>
        <v>7.0000000000000062E-2</v>
      </c>
      <c r="X15" s="35">
        <f t="shared" si="2"/>
        <v>0</v>
      </c>
      <c r="Y15" s="35">
        <v>0</v>
      </c>
      <c r="Z15" s="34">
        <v>0</v>
      </c>
      <c r="AA15" s="35">
        <f t="shared" si="3"/>
        <v>0</v>
      </c>
    </row>
    <row r="16" spans="1:28">
      <c r="A16" s="12">
        <f t="shared" si="4"/>
        <v>4</v>
      </c>
      <c r="B16" s="187"/>
      <c r="C16" s="213">
        <v>204</v>
      </c>
      <c r="D16" s="182">
        <v>204</v>
      </c>
      <c r="E16" s="122">
        <v>1.28</v>
      </c>
      <c r="F16" s="47">
        <v>1.28</v>
      </c>
      <c r="G16" s="47">
        <v>1.34</v>
      </c>
      <c r="H16" s="47">
        <v>1.35</v>
      </c>
      <c r="I16" s="47">
        <v>1.35</v>
      </c>
      <c r="J16" s="121">
        <v>1.34</v>
      </c>
      <c r="K16" s="166">
        <v>26.21</v>
      </c>
      <c r="L16" s="165">
        <v>26.06</v>
      </c>
      <c r="M16" s="276"/>
      <c r="N16" s="275"/>
      <c r="O16" s="275"/>
      <c r="P16" s="271"/>
      <c r="Q16" s="274" t="s">
        <v>21</v>
      </c>
      <c r="R16" s="37">
        <v>96.1</v>
      </c>
      <c r="S16" s="36">
        <f t="shared" si="0"/>
        <v>13.620763860941441</v>
      </c>
      <c r="T16" s="35">
        <v>3</v>
      </c>
      <c r="V16" s="35">
        <f t="shared" si="5"/>
        <v>4</v>
      </c>
      <c r="W16" s="265">
        <f t="shared" si="1"/>
        <v>7.0000000000000062E-2</v>
      </c>
      <c r="X16" s="35">
        <f t="shared" si="2"/>
        <v>0</v>
      </c>
      <c r="Y16" s="35">
        <v>0</v>
      </c>
      <c r="Z16" s="34">
        <v>0</v>
      </c>
      <c r="AA16" s="35">
        <f t="shared" si="3"/>
        <v>0</v>
      </c>
    </row>
    <row r="17" spans="1:28">
      <c r="A17" s="12">
        <f t="shared" si="4"/>
        <v>5</v>
      </c>
      <c r="B17" s="187"/>
      <c r="C17" s="213">
        <v>205</v>
      </c>
      <c r="D17" s="182">
        <v>204</v>
      </c>
      <c r="E17" s="122">
        <v>1.35</v>
      </c>
      <c r="F17" s="47">
        <v>1.35</v>
      </c>
      <c r="G17" s="47">
        <v>1.34</v>
      </c>
      <c r="H17" s="47">
        <v>1.35</v>
      </c>
      <c r="I17" s="47">
        <v>1.34</v>
      </c>
      <c r="J17" s="121">
        <v>1.33</v>
      </c>
      <c r="K17" s="166">
        <v>26.24</v>
      </c>
      <c r="L17" s="165">
        <v>25.95</v>
      </c>
      <c r="M17" s="276"/>
      <c r="N17" s="275"/>
      <c r="O17" s="275"/>
      <c r="P17" s="271"/>
      <c r="Q17" s="274" t="s">
        <v>19</v>
      </c>
      <c r="R17" s="37">
        <v>96.1</v>
      </c>
      <c r="S17" s="36">
        <f t="shared" si="0"/>
        <v>13.405684147018118</v>
      </c>
      <c r="T17" s="35">
        <v>3</v>
      </c>
      <c r="V17" s="35">
        <f t="shared" si="5"/>
        <v>5</v>
      </c>
      <c r="W17" s="265">
        <f t="shared" si="1"/>
        <v>2.0000000000000018E-2</v>
      </c>
      <c r="X17" s="35">
        <f t="shared" si="2"/>
        <v>0</v>
      </c>
      <c r="Y17" s="35">
        <v>0</v>
      </c>
      <c r="Z17" s="34">
        <v>0</v>
      </c>
      <c r="AA17" s="35">
        <f t="shared" si="3"/>
        <v>0</v>
      </c>
    </row>
    <row r="18" spans="1:28">
      <c r="A18" s="12">
        <f t="shared" si="4"/>
        <v>6</v>
      </c>
      <c r="B18" s="187"/>
      <c r="C18" s="213">
        <v>204</v>
      </c>
      <c r="D18" s="182">
        <v>204</v>
      </c>
      <c r="E18" s="122">
        <v>1.35</v>
      </c>
      <c r="F18" s="47">
        <v>1.34</v>
      </c>
      <c r="G18" s="47">
        <v>1.36</v>
      </c>
      <c r="H18" s="47">
        <v>1.35</v>
      </c>
      <c r="I18" s="47">
        <v>1.34</v>
      </c>
      <c r="J18" s="121">
        <v>1.34</v>
      </c>
      <c r="K18" s="166">
        <v>25.88</v>
      </c>
      <c r="L18" s="165">
        <v>26.2</v>
      </c>
      <c r="M18" s="276"/>
      <c r="N18" s="275"/>
      <c r="O18" s="275"/>
      <c r="P18" s="271"/>
      <c r="Q18" s="270"/>
      <c r="R18" s="37">
        <v>96.8</v>
      </c>
      <c r="S18" s="36">
        <f t="shared" si="0"/>
        <v>13.531442599396833</v>
      </c>
      <c r="T18" s="35">
        <v>3</v>
      </c>
      <c r="V18" s="35">
        <f t="shared" si="5"/>
        <v>6</v>
      </c>
      <c r="W18" s="265">
        <f t="shared" si="1"/>
        <v>2.0000000000000018E-2</v>
      </c>
      <c r="X18" s="35">
        <f t="shared" si="2"/>
        <v>0</v>
      </c>
      <c r="Y18" s="35">
        <v>0</v>
      </c>
      <c r="Z18" s="34">
        <v>0</v>
      </c>
      <c r="AA18" s="35">
        <f t="shared" si="3"/>
        <v>0</v>
      </c>
    </row>
    <row r="19" spans="1:28">
      <c r="A19" s="12">
        <f t="shared" si="4"/>
        <v>7</v>
      </c>
      <c r="B19" s="187"/>
      <c r="C19" s="213">
        <v>204</v>
      </c>
      <c r="D19" s="182">
        <v>204</v>
      </c>
      <c r="E19" s="122">
        <v>1.35</v>
      </c>
      <c r="F19" s="47">
        <v>1.33</v>
      </c>
      <c r="G19" s="47">
        <v>1.3</v>
      </c>
      <c r="H19" s="47">
        <v>1.3</v>
      </c>
      <c r="I19" s="47">
        <v>1.27</v>
      </c>
      <c r="J19" s="121">
        <v>1.25</v>
      </c>
      <c r="K19" s="166">
        <v>25.93</v>
      </c>
      <c r="L19" s="165">
        <v>26.22</v>
      </c>
      <c r="M19" s="276"/>
      <c r="N19" s="275"/>
      <c r="O19" s="275"/>
      <c r="P19" s="271"/>
      <c r="Q19" s="270"/>
      <c r="R19" s="37">
        <v>93.7</v>
      </c>
      <c r="S19" s="36">
        <f t="shared" si="0"/>
        <v>13.550076716282797</v>
      </c>
      <c r="T19" s="35">
        <v>3</v>
      </c>
      <c r="V19" s="35">
        <f t="shared" si="5"/>
        <v>7</v>
      </c>
      <c r="W19" s="265">
        <f t="shared" si="1"/>
        <v>0.10000000000000009</v>
      </c>
      <c r="X19" s="35">
        <f t="shared" si="2"/>
        <v>0</v>
      </c>
      <c r="Y19" s="35">
        <v>0</v>
      </c>
      <c r="Z19" s="34">
        <v>0</v>
      </c>
      <c r="AA19" s="35">
        <f t="shared" si="3"/>
        <v>0</v>
      </c>
    </row>
    <row r="20" spans="1:28">
      <c r="A20" s="12">
        <f t="shared" si="4"/>
        <v>8</v>
      </c>
      <c r="B20" s="187"/>
      <c r="C20" s="213">
        <v>204</v>
      </c>
      <c r="D20" s="182">
        <v>204</v>
      </c>
      <c r="E20" s="122">
        <v>1.36</v>
      </c>
      <c r="F20" s="47">
        <v>1.36</v>
      </c>
      <c r="G20" s="47">
        <v>1.31</v>
      </c>
      <c r="H20" s="47">
        <v>1.31</v>
      </c>
      <c r="I20" s="47">
        <v>1.28</v>
      </c>
      <c r="J20" s="121">
        <v>1.29</v>
      </c>
      <c r="K20" s="166">
        <v>26.14</v>
      </c>
      <c r="L20" s="165">
        <v>26.18</v>
      </c>
      <c r="M20" s="276"/>
      <c r="N20" s="275"/>
      <c r="O20" s="275"/>
      <c r="P20" s="271"/>
      <c r="Q20" s="274" t="s">
        <v>21</v>
      </c>
      <c r="R20" s="37">
        <v>95.1</v>
      </c>
      <c r="S20" s="36">
        <f t="shared" si="0"/>
        <v>13.517219829394776</v>
      </c>
      <c r="T20" s="35">
        <v>3</v>
      </c>
      <c r="V20" s="35">
        <f t="shared" si="5"/>
        <v>8</v>
      </c>
      <c r="W20" s="265">
        <f t="shared" si="1"/>
        <v>8.0000000000000071E-2</v>
      </c>
      <c r="X20" s="35">
        <f t="shared" si="2"/>
        <v>0</v>
      </c>
      <c r="Y20" s="35">
        <v>0</v>
      </c>
      <c r="Z20" s="34">
        <v>0</v>
      </c>
      <c r="AA20" s="35">
        <f t="shared" si="3"/>
        <v>0</v>
      </c>
    </row>
    <row r="21" spans="1:28">
      <c r="A21" s="12">
        <f t="shared" si="4"/>
        <v>9</v>
      </c>
      <c r="B21" s="187"/>
      <c r="C21" s="213">
        <v>204</v>
      </c>
      <c r="D21" s="182">
        <v>204</v>
      </c>
      <c r="E21" s="122">
        <v>1.31</v>
      </c>
      <c r="F21" s="47">
        <v>1.32</v>
      </c>
      <c r="G21" s="47">
        <v>1.31</v>
      </c>
      <c r="H21" s="47">
        <v>1.32</v>
      </c>
      <c r="I21" s="47">
        <v>1.25</v>
      </c>
      <c r="J21" s="121">
        <v>1.26</v>
      </c>
      <c r="K21" s="166">
        <v>26.3</v>
      </c>
      <c r="L21" s="165">
        <v>26.23</v>
      </c>
      <c r="M21" s="276"/>
      <c r="N21" s="275"/>
      <c r="O21" s="275"/>
      <c r="P21" s="271"/>
      <c r="Q21" s="274" t="s">
        <v>21</v>
      </c>
      <c r="R21" s="37">
        <v>93.9</v>
      </c>
      <c r="S21" s="36">
        <f t="shared" si="0"/>
        <v>13.532818316639325</v>
      </c>
      <c r="T21" s="35">
        <v>3</v>
      </c>
      <c r="V21" s="35">
        <f t="shared" si="5"/>
        <v>9</v>
      </c>
      <c r="W21" s="265">
        <f t="shared" si="1"/>
        <v>7.0000000000000062E-2</v>
      </c>
      <c r="X21" s="35">
        <f t="shared" si="2"/>
        <v>0</v>
      </c>
      <c r="Y21" s="35">
        <v>0</v>
      </c>
      <c r="Z21" s="34">
        <v>0</v>
      </c>
      <c r="AA21" s="35">
        <f t="shared" si="3"/>
        <v>0</v>
      </c>
    </row>
    <row r="22" spans="1:28">
      <c r="A22" s="12">
        <f t="shared" si="4"/>
        <v>10</v>
      </c>
      <c r="B22" s="187"/>
      <c r="C22" s="213">
        <v>204</v>
      </c>
      <c r="D22" s="182">
        <v>204</v>
      </c>
      <c r="E22" s="122">
        <v>1.32</v>
      </c>
      <c r="F22" s="47">
        <v>1.32</v>
      </c>
      <c r="G22" s="47">
        <v>1.33</v>
      </c>
      <c r="H22" s="47">
        <v>1.34</v>
      </c>
      <c r="I22" s="47">
        <v>1.33</v>
      </c>
      <c r="J22" s="121">
        <v>1.31</v>
      </c>
      <c r="K22" s="166">
        <v>26.26</v>
      </c>
      <c r="L22" s="165">
        <v>26.24</v>
      </c>
      <c r="M22" s="276"/>
      <c r="N22" s="275"/>
      <c r="O22" s="275"/>
      <c r="P22" s="271"/>
      <c r="Q22" s="270"/>
      <c r="R22" s="37">
        <v>95.4</v>
      </c>
      <c r="S22" s="36">
        <f t="shared" si="0"/>
        <v>13.445378151260506</v>
      </c>
      <c r="T22" s="35">
        <v>3</v>
      </c>
      <c r="V22" s="35">
        <f t="shared" si="5"/>
        <v>10</v>
      </c>
      <c r="W22" s="265">
        <f t="shared" si="1"/>
        <v>3.0000000000000027E-2</v>
      </c>
      <c r="X22" s="35">
        <f t="shared" si="2"/>
        <v>0</v>
      </c>
      <c r="Y22" s="35">
        <v>0</v>
      </c>
      <c r="Z22" s="34">
        <v>0</v>
      </c>
      <c r="AA22" s="35">
        <f t="shared" si="3"/>
        <v>0</v>
      </c>
    </row>
    <row r="23" spans="1:28" ht="28">
      <c r="A23" s="44">
        <f t="shared" si="4"/>
        <v>11</v>
      </c>
      <c r="B23" s="187"/>
      <c r="C23" s="213">
        <v>204</v>
      </c>
      <c r="D23" s="182">
        <v>204</v>
      </c>
      <c r="E23" s="122">
        <v>1.26</v>
      </c>
      <c r="F23" s="47">
        <v>1.27</v>
      </c>
      <c r="G23" s="47">
        <v>1.29</v>
      </c>
      <c r="H23" s="47">
        <v>1.32</v>
      </c>
      <c r="I23" s="47">
        <v>1.32</v>
      </c>
      <c r="J23" s="121">
        <v>1.3</v>
      </c>
      <c r="K23" s="166">
        <v>26.12</v>
      </c>
      <c r="L23" s="165">
        <v>26.22</v>
      </c>
      <c r="M23" s="276"/>
      <c r="N23" s="275"/>
      <c r="O23" s="275"/>
      <c r="P23" s="271"/>
      <c r="Q23" s="270" t="s">
        <v>50</v>
      </c>
      <c r="R23" s="37">
        <v>92.9</v>
      </c>
      <c r="S23" s="36">
        <f t="shared" si="0"/>
        <v>13.454617416143407</v>
      </c>
      <c r="T23" s="35">
        <v>3</v>
      </c>
      <c r="V23" s="172">
        <f t="shared" si="5"/>
        <v>11</v>
      </c>
      <c r="W23" s="265">
        <f t="shared" si="1"/>
        <v>6.0000000000000053E-2</v>
      </c>
      <c r="X23" s="35">
        <f t="shared" si="2"/>
        <v>0</v>
      </c>
      <c r="Y23" s="35">
        <v>0</v>
      </c>
      <c r="Z23" s="34">
        <v>0</v>
      </c>
      <c r="AA23" s="35">
        <f t="shared" si="3"/>
        <v>0</v>
      </c>
      <c r="AB23" t="s">
        <v>92</v>
      </c>
    </row>
    <row r="24" spans="1:28">
      <c r="A24" s="12">
        <f t="shared" si="4"/>
        <v>12</v>
      </c>
      <c r="B24" s="187"/>
      <c r="C24" s="213">
        <v>204</v>
      </c>
      <c r="D24" s="182">
        <v>204</v>
      </c>
      <c r="E24" s="122">
        <v>1.29</v>
      </c>
      <c r="F24" s="47">
        <v>1.32</v>
      </c>
      <c r="G24" s="47">
        <v>1.33</v>
      </c>
      <c r="H24" s="47">
        <v>1.33</v>
      </c>
      <c r="I24" s="47">
        <v>1.35</v>
      </c>
      <c r="J24" s="121">
        <v>1.33</v>
      </c>
      <c r="K24" s="166">
        <v>25.77</v>
      </c>
      <c r="L24" s="165">
        <v>26.05</v>
      </c>
      <c r="M24" s="276"/>
      <c r="N24" s="275"/>
      <c r="O24" s="275"/>
      <c r="P24" s="271"/>
      <c r="Q24" s="270"/>
      <c r="R24" s="37">
        <v>94.4</v>
      </c>
      <c r="S24" s="36">
        <f t="shared" si="0"/>
        <v>13.479026762864653</v>
      </c>
      <c r="T24" s="35">
        <v>3</v>
      </c>
      <c r="V24" s="35">
        <f t="shared" si="5"/>
        <v>12</v>
      </c>
      <c r="W24" s="265">
        <f t="shared" si="1"/>
        <v>6.0000000000000053E-2</v>
      </c>
      <c r="X24" s="35">
        <f t="shared" si="2"/>
        <v>0</v>
      </c>
      <c r="Y24" s="35">
        <v>0</v>
      </c>
      <c r="Z24" s="34">
        <v>0</v>
      </c>
      <c r="AA24" s="35">
        <f t="shared" si="3"/>
        <v>0</v>
      </c>
    </row>
    <row r="25" spans="1:28">
      <c r="A25" s="12">
        <f t="shared" si="4"/>
        <v>13</v>
      </c>
      <c r="B25" s="187"/>
      <c r="C25" s="213">
        <v>205</v>
      </c>
      <c r="D25" s="182">
        <v>204</v>
      </c>
      <c r="E25" s="122">
        <v>1.35</v>
      </c>
      <c r="F25" s="47">
        <v>1.36</v>
      </c>
      <c r="G25" s="47">
        <v>1.34</v>
      </c>
      <c r="H25" s="47">
        <v>1.33</v>
      </c>
      <c r="I25" s="47">
        <v>1.29</v>
      </c>
      <c r="J25" s="121">
        <v>1.29</v>
      </c>
      <c r="K25" s="166">
        <v>26.23</v>
      </c>
      <c r="L25" s="165">
        <v>26.04</v>
      </c>
      <c r="M25" s="276"/>
      <c r="N25" s="275"/>
      <c r="O25" s="275" t="s">
        <v>20</v>
      </c>
      <c r="P25" s="271"/>
      <c r="Q25" s="270"/>
      <c r="R25" s="37">
        <v>96</v>
      </c>
      <c r="S25" s="36">
        <f t="shared" si="0"/>
        <v>13.53921855725161</v>
      </c>
      <c r="T25" s="35">
        <v>3</v>
      </c>
      <c r="V25" s="35">
        <f t="shared" si="5"/>
        <v>13</v>
      </c>
      <c r="W25" s="265">
        <f t="shared" si="1"/>
        <v>7.0000000000000062E-2</v>
      </c>
      <c r="X25" s="35">
        <f t="shared" si="2"/>
        <v>0</v>
      </c>
      <c r="Y25" s="35">
        <v>0</v>
      </c>
      <c r="Z25" s="34">
        <v>0</v>
      </c>
      <c r="AA25" s="35">
        <f t="shared" si="3"/>
        <v>0</v>
      </c>
    </row>
    <row r="26" spans="1:28">
      <c r="A26" s="12">
        <f t="shared" si="4"/>
        <v>14</v>
      </c>
      <c r="B26" s="187"/>
      <c r="C26" s="213">
        <v>204</v>
      </c>
      <c r="D26" s="182">
        <v>204</v>
      </c>
      <c r="E26" s="122">
        <v>1.31</v>
      </c>
      <c r="F26" s="47">
        <v>1.32</v>
      </c>
      <c r="G26" s="47">
        <v>1.34</v>
      </c>
      <c r="H26" s="47">
        <v>1.33</v>
      </c>
      <c r="I26" s="47">
        <v>1.33</v>
      </c>
      <c r="J26" s="121">
        <v>1.35</v>
      </c>
      <c r="K26" s="166">
        <v>26.18</v>
      </c>
      <c r="L26" s="165">
        <v>26.3</v>
      </c>
      <c r="M26" s="276"/>
      <c r="N26" s="275"/>
      <c r="O26" s="275"/>
      <c r="P26" s="271"/>
      <c r="Q26" s="270"/>
      <c r="R26" s="37">
        <v>95.6</v>
      </c>
      <c r="S26" s="36">
        <f t="shared" si="0"/>
        <v>13.428028464274025</v>
      </c>
      <c r="T26" s="35">
        <v>3</v>
      </c>
      <c r="V26" s="35">
        <f t="shared" si="5"/>
        <v>14</v>
      </c>
      <c r="W26" s="265">
        <f t="shared" si="1"/>
        <v>4.0000000000000036E-2</v>
      </c>
      <c r="X26" s="35">
        <f t="shared" si="2"/>
        <v>0</v>
      </c>
      <c r="Y26" s="35">
        <v>0</v>
      </c>
      <c r="Z26" s="34">
        <v>0</v>
      </c>
      <c r="AA26" s="35">
        <f t="shared" si="3"/>
        <v>0</v>
      </c>
    </row>
    <row r="27" spans="1:28">
      <c r="A27" s="12">
        <f t="shared" si="4"/>
        <v>15</v>
      </c>
      <c r="B27" s="187"/>
      <c r="C27" s="213">
        <v>204</v>
      </c>
      <c r="D27" s="182">
        <v>204</v>
      </c>
      <c r="E27" s="118">
        <v>1.37</v>
      </c>
      <c r="F27" s="42">
        <v>1.37</v>
      </c>
      <c r="G27" s="42">
        <v>1.37</v>
      </c>
      <c r="H27" s="42">
        <v>1.38</v>
      </c>
      <c r="I27" s="42">
        <v>1.34</v>
      </c>
      <c r="J27" s="212">
        <v>1.33</v>
      </c>
      <c r="K27" s="166">
        <v>26.12</v>
      </c>
      <c r="L27" s="165">
        <v>25.75</v>
      </c>
      <c r="M27" s="276"/>
      <c r="N27" s="275"/>
      <c r="O27" s="275"/>
      <c r="P27" s="271"/>
      <c r="Q27" s="274" t="s">
        <v>19</v>
      </c>
      <c r="R27" s="37">
        <v>96.6</v>
      </c>
      <c r="S27" s="36">
        <f t="shared" si="0"/>
        <v>13.425231964660117</v>
      </c>
      <c r="T27" s="35">
        <v>3</v>
      </c>
      <c r="V27" s="35">
        <f t="shared" si="5"/>
        <v>15</v>
      </c>
      <c r="W27" s="265">
        <f t="shared" si="1"/>
        <v>4.9999999999999822E-2</v>
      </c>
      <c r="X27" s="35">
        <f t="shared" si="2"/>
        <v>0</v>
      </c>
      <c r="Y27" s="35">
        <v>0</v>
      </c>
      <c r="Z27" s="34">
        <v>0</v>
      </c>
      <c r="AA27" s="35">
        <f t="shared" si="3"/>
        <v>0</v>
      </c>
    </row>
    <row r="28" spans="1:28">
      <c r="A28" s="12">
        <f t="shared" si="4"/>
        <v>16</v>
      </c>
      <c r="B28" s="54"/>
      <c r="C28" s="213">
        <v>204</v>
      </c>
      <c r="D28" s="182">
        <v>204</v>
      </c>
      <c r="E28" s="118">
        <v>1.37</v>
      </c>
      <c r="F28" s="42">
        <v>1.37</v>
      </c>
      <c r="G28" s="42">
        <v>1.37</v>
      </c>
      <c r="H28" s="42">
        <v>1.36</v>
      </c>
      <c r="I28" s="42">
        <v>1.35</v>
      </c>
      <c r="J28" s="212">
        <v>1.36</v>
      </c>
      <c r="K28" s="166">
        <v>25.91</v>
      </c>
      <c r="L28" s="165">
        <v>26.25</v>
      </c>
      <c r="M28" s="276"/>
      <c r="N28" s="275"/>
      <c r="O28" s="275"/>
      <c r="P28" s="271"/>
      <c r="Q28" s="270"/>
      <c r="R28" s="37">
        <v>96.6</v>
      </c>
      <c r="S28" s="36">
        <f t="shared" si="0"/>
        <v>13.317948116141771</v>
      </c>
      <c r="T28" s="35">
        <v>3</v>
      </c>
      <c r="V28" s="35">
        <f t="shared" si="5"/>
        <v>16</v>
      </c>
      <c r="W28" s="265">
        <f t="shared" si="1"/>
        <v>2.0000000000000018E-2</v>
      </c>
      <c r="X28" s="35">
        <f t="shared" si="2"/>
        <v>0</v>
      </c>
      <c r="Y28" s="35">
        <v>0</v>
      </c>
      <c r="Z28" s="34">
        <v>0</v>
      </c>
      <c r="AA28" s="35">
        <f t="shared" si="3"/>
        <v>0</v>
      </c>
    </row>
    <row r="29" spans="1:28">
      <c r="A29" s="12">
        <f t="shared" si="4"/>
        <v>17</v>
      </c>
      <c r="B29" s="54"/>
      <c r="C29" s="213">
        <v>204</v>
      </c>
      <c r="D29" s="182">
        <v>204</v>
      </c>
      <c r="E29" s="118">
        <v>1.32</v>
      </c>
      <c r="F29" s="42">
        <v>1.33</v>
      </c>
      <c r="G29" s="42">
        <v>1.31</v>
      </c>
      <c r="H29" s="42">
        <v>1.32</v>
      </c>
      <c r="I29" s="42">
        <v>1.26</v>
      </c>
      <c r="J29" s="212">
        <v>1.27</v>
      </c>
      <c r="K29" s="166">
        <v>26.17</v>
      </c>
      <c r="L29" s="165">
        <v>26.25</v>
      </c>
      <c r="M29" s="276"/>
      <c r="N29" s="275"/>
      <c r="O29" s="275"/>
      <c r="P29" s="271"/>
      <c r="Q29" s="270"/>
      <c r="R29" s="37">
        <v>94</v>
      </c>
      <c r="S29" s="36">
        <f t="shared" si="0"/>
        <v>13.506128635760025</v>
      </c>
      <c r="T29" s="35">
        <v>3</v>
      </c>
      <c r="V29" s="35">
        <f t="shared" si="5"/>
        <v>17</v>
      </c>
      <c r="W29" s="265">
        <f t="shared" si="1"/>
        <v>7.0000000000000062E-2</v>
      </c>
      <c r="X29" s="35">
        <f t="shared" si="2"/>
        <v>0</v>
      </c>
      <c r="Y29" s="35">
        <v>0</v>
      </c>
      <c r="Z29" s="34">
        <v>0</v>
      </c>
      <c r="AA29" s="35">
        <f t="shared" si="3"/>
        <v>0</v>
      </c>
    </row>
    <row r="30" spans="1:28">
      <c r="A30" s="12">
        <f t="shared" si="4"/>
        <v>18</v>
      </c>
      <c r="B30" s="54"/>
      <c r="C30" s="213">
        <v>204</v>
      </c>
      <c r="D30" s="182">
        <v>204</v>
      </c>
      <c r="E30" s="118">
        <v>1.34</v>
      </c>
      <c r="F30" s="42">
        <v>1.32</v>
      </c>
      <c r="G30" s="42">
        <v>1.32</v>
      </c>
      <c r="H30" s="42">
        <v>1.32</v>
      </c>
      <c r="I30" s="42">
        <v>1.27</v>
      </c>
      <c r="J30" s="212">
        <v>1.28</v>
      </c>
      <c r="K30" s="166">
        <v>25.6</v>
      </c>
      <c r="L30" s="165">
        <v>25.7</v>
      </c>
      <c r="M30" s="273"/>
      <c r="N30" s="272"/>
      <c r="O30" s="272"/>
      <c r="P30" s="271"/>
      <c r="Q30" s="274" t="s">
        <v>21</v>
      </c>
      <c r="R30" s="37">
        <v>94</v>
      </c>
      <c r="S30" s="36">
        <f t="shared" si="0"/>
        <v>13.73067571722696</v>
      </c>
      <c r="T30" s="35">
        <v>3</v>
      </c>
      <c r="V30" s="35">
        <f t="shared" si="5"/>
        <v>18</v>
      </c>
      <c r="W30" s="265">
        <f t="shared" si="1"/>
        <v>7.0000000000000062E-2</v>
      </c>
      <c r="X30" s="35">
        <f t="shared" si="2"/>
        <v>0</v>
      </c>
      <c r="Y30" s="35">
        <v>0</v>
      </c>
      <c r="Z30" s="34">
        <v>0</v>
      </c>
      <c r="AA30" s="35">
        <f t="shared" si="3"/>
        <v>0</v>
      </c>
    </row>
    <row r="31" spans="1:28">
      <c r="A31" s="12">
        <f t="shared" si="4"/>
        <v>19</v>
      </c>
      <c r="B31" s="54"/>
      <c r="C31" s="213">
        <v>204</v>
      </c>
      <c r="D31" s="182">
        <v>204</v>
      </c>
      <c r="E31" s="118">
        <v>1.32</v>
      </c>
      <c r="F31" s="42">
        <v>1.31</v>
      </c>
      <c r="G31" s="42">
        <v>1.31</v>
      </c>
      <c r="H31" s="42">
        <v>1.31</v>
      </c>
      <c r="I31" s="42">
        <v>1.27</v>
      </c>
      <c r="J31" s="212">
        <v>1.26</v>
      </c>
      <c r="K31" s="166">
        <v>25.95</v>
      </c>
      <c r="L31" s="165">
        <v>26.24</v>
      </c>
      <c r="M31" s="273"/>
      <c r="N31" s="272"/>
      <c r="O31" s="272"/>
      <c r="P31" s="271"/>
      <c r="Q31" s="270"/>
      <c r="R31" s="37">
        <v>93.4</v>
      </c>
      <c r="S31" s="36">
        <f t="shared" si="0"/>
        <v>13.531036358300337</v>
      </c>
      <c r="T31" s="35">
        <v>3</v>
      </c>
      <c r="V31" s="35">
        <f t="shared" si="5"/>
        <v>19</v>
      </c>
      <c r="W31" s="265">
        <f t="shared" si="1"/>
        <v>6.0000000000000053E-2</v>
      </c>
      <c r="X31" s="35">
        <f t="shared" si="2"/>
        <v>0</v>
      </c>
      <c r="Y31" s="35">
        <v>0</v>
      </c>
      <c r="Z31" s="34">
        <v>0</v>
      </c>
      <c r="AA31" s="35">
        <f t="shared" si="3"/>
        <v>0</v>
      </c>
    </row>
    <row r="32" spans="1:28">
      <c r="A32" s="71">
        <f t="shared" si="4"/>
        <v>20</v>
      </c>
      <c r="B32" s="74"/>
      <c r="C32" s="210">
        <v>204</v>
      </c>
      <c r="D32" s="209">
        <v>204</v>
      </c>
      <c r="E32" s="112">
        <v>1.26</v>
      </c>
      <c r="F32" s="208">
        <v>1.25</v>
      </c>
      <c r="G32" s="208">
        <v>1.31</v>
      </c>
      <c r="H32" s="208">
        <v>1.3</v>
      </c>
      <c r="I32" s="208">
        <v>1.31</v>
      </c>
      <c r="J32" s="207">
        <v>1.3</v>
      </c>
      <c r="K32" s="157">
        <v>26.18</v>
      </c>
      <c r="L32" s="156">
        <v>25.81</v>
      </c>
      <c r="M32" s="269"/>
      <c r="N32" s="268"/>
      <c r="O32" s="268"/>
      <c r="P32" s="267"/>
      <c r="Q32" s="266"/>
      <c r="R32" s="21">
        <v>92.1</v>
      </c>
      <c r="S32" s="20">
        <f t="shared" si="0"/>
        <v>13.480667515231508</v>
      </c>
      <c r="T32" s="19">
        <v>3</v>
      </c>
      <c r="V32" s="19">
        <f t="shared" si="5"/>
        <v>20</v>
      </c>
      <c r="W32" s="265">
        <f t="shared" si="1"/>
        <v>6.0000000000000053E-2</v>
      </c>
      <c r="X32" s="19">
        <f t="shared" si="2"/>
        <v>0</v>
      </c>
      <c r="Y32" s="19">
        <v>0</v>
      </c>
      <c r="Z32" s="18">
        <v>0</v>
      </c>
      <c r="AA32" s="19">
        <f t="shared" si="3"/>
        <v>0</v>
      </c>
    </row>
    <row r="33" spans="1:27" s="16" customFormat="1">
      <c r="Y33" s="16">
        <f>SUM(Y12:Y32)</f>
        <v>0</v>
      </c>
      <c r="Z33" s="16">
        <f>SUM(Z12:Z32)</f>
        <v>0</v>
      </c>
      <c r="AA33" s="16">
        <f>SUM(AA12:AA32)</f>
        <v>0</v>
      </c>
    </row>
    <row r="35" spans="1:27">
      <c r="A35" s="12" t="s">
        <v>17</v>
      </c>
      <c r="C35" s="1" t="s">
        <v>16</v>
      </c>
      <c r="E35" s="1" t="s">
        <v>15</v>
      </c>
      <c r="K35" s="1" t="s">
        <v>14</v>
      </c>
      <c r="R35" s="1" t="s">
        <v>13</v>
      </c>
      <c r="S35" s="1" t="s">
        <v>12</v>
      </c>
    </row>
    <row r="36" spans="1:27">
      <c r="A36" s="12"/>
    </row>
    <row r="37" spans="1:27">
      <c r="A37" s="1" t="s">
        <v>11</v>
      </c>
      <c r="C37" s="1">
        <f>8*25.4</f>
        <v>203.2</v>
      </c>
      <c r="E37" s="1">
        <f>C6</f>
        <v>1.27</v>
      </c>
      <c r="K37" s="11">
        <v>25.4</v>
      </c>
    </row>
    <row r="38" spans="1:27">
      <c r="A38" s="1" t="s">
        <v>10</v>
      </c>
      <c r="C38" s="1">
        <f>MODE(C12:D32)</f>
        <v>204</v>
      </c>
      <c r="E38" s="1">
        <f>MODE(E12:J32)</f>
        <v>1.32</v>
      </c>
      <c r="K38" s="1">
        <f>MODE(K12:L32)</f>
        <v>26.12</v>
      </c>
      <c r="R38" s="1">
        <f>MODE(R12:R32)</f>
        <v>96.1</v>
      </c>
      <c r="S38" s="1" t="e">
        <f>MODE(S12:S32)</f>
        <v>#N/A</v>
      </c>
    </row>
    <row r="39" spans="1:27">
      <c r="A39" s="1" t="s">
        <v>9</v>
      </c>
      <c r="C39" s="10">
        <f>AVERAGE(C12:D32)</f>
        <v>204.11904761904762</v>
      </c>
      <c r="D39" s="10"/>
      <c r="E39" s="7">
        <f>AVERAGE(E12:J32)</f>
        <v>1.3200793650793656</v>
      </c>
      <c r="K39" s="6">
        <f>AVERAGE(K12:L32)</f>
        <v>26.066666666666666</v>
      </c>
      <c r="R39" s="9">
        <f>AVERAGE(R12:R32)</f>
        <v>94.823809523809516</v>
      </c>
      <c r="S39" s="9">
        <f>AVERAGE(S12:S32)</f>
        <v>13.501480155807759</v>
      </c>
      <c r="T39" s="9"/>
    </row>
    <row r="40" spans="1:27">
      <c r="A40" s="1" t="s">
        <v>8</v>
      </c>
      <c r="C40" s="1">
        <f>STDEV(C12:D32)</f>
        <v>0.32777006756156785</v>
      </c>
      <c r="E40" s="1">
        <f>STDEV(E12:J32)</f>
        <v>3.0996671608313878E-2</v>
      </c>
      <c r="K40" s="1">
        <f>STDEV(K12:L32)</f>
        <v>0.20475644862136216</v>
      </c>
      <c r="R40" s="1">
        <f>STDEV(R12:R32)</f>
        <v>1.2872081268795486</v>
      </c>
      <c r="S40" s="1">
        <f>STDEV(S12:S32)</f>
        <v>8.4285224460125957E-2</v>
      </c>
    </row>
    <row r="41" spans="1:27">
      <c r="A41" s="8" t="s">
        <v>7</v>
      </c>
      <c r="E41" s="7">
        <f>E39+E40</f>
        <v>1.3510760366876795</v>
      </c>
      <c r="K41" s="6">
        <f>K39+K40</f>
        <v>26.27142311528803</v>
      </c>
      <c r="R41" s="1">
        <f>R39+R40</f>
        <v>96.111017650689064</v>
      </c>
      <c r="S41" s="9">
        <f>S40+S39</f>
        <v>13.585765380267885</v>
      </c>
    </row>
    <row r="42" spans="1:27">
      <c r="A42" s="8" t="s">
        <v>6</v>
      </c>
      <c r="E42" s="7">
        <f>E39-E40</f>
        <v>1.2890826934710518</v>
      </c>
      <c r="K42" s="6">
        <f>K39-K40</f>
        <v>25.861910218045303</v>
      </c>
      <c r="R42" s="1">
        <f>R39-R40</f>
        <v>93.536601396929967</v>
      </c>
      <c r="S42" s="9">
        <f>S41-S40</f>
        <v>13.501480155807759</v>
      </c>
    </row>
    <row r="43" spans="1:27">
      <c r="A43" s="1" t="s">
        <v>72</v>
      </c>
      <c r="C43" s="6">
        <f>MAX(C12:D32)-C37</f>
        <v>1.8000000000000114</v>
      </c>
      <c r="E43" s="7">
        <f>MAX(E12:J32)-E37</f>
        <v>0.10999999999999988</v>
      </c>
      <c r="K43" s="6">
        <f>MAX(K12:L32)-$K37</f>
        <v>0.90000000000000213</v>
      </c>
    </row>
    <row r="44" spans="1:27">
      <c r="A44" s="1" t="s">
        <v>71</v>
      </c>
      <c r="C44" s="6">
        <f>MIN(C12:D32)-C37</f>
        <v>0.80000000000001137</v>
      </c>
      <c r="E44" s="7">
        <f>MIN(E12:J32)-E37</f>
        <v>-2.0000000000000018E-2</v>
      </c>
      <c r="K44" s="6">
        <f>MIN(K12:L32)-K37</f>
        <v>0.13000000000000256</v>
      </c>
    </row>
    <row r="45" spans="1:27" ht="15" thickBot="1"/>
    <row r="46" spans="1:27">
      <c r="A46" s="1" t="s">
        <v>3</v>
      </c>
      <c r="C46" s="5" t="s">
        <v>2</v>
      </c>
      <c r="D46" s="5" t="s">
        <v>1</v>
      </c>
      <c r="E46" s="6"/>
      <c r="F46" s="6"/>
      <c r="G46" s="6"/>
      <c r="H46" s="6"/>
      <c r="I46" s="6"/>
      <c r="J46" s="6"/>
      <c r="K46" s="6"/>
      <c r="L46" s="6"/>
    </row>
    <row r="47" spans="1:27">
      <c r="A47" s="1">
        <v>1.24</v>
      </c>
      <c r="C47" s="4">
        <v>1.24</v>
      </c>
      <c r="D47" s="3">
        <v>0</v>
      </c>
      <c r="E47" s="6"/>
      <c r="F47" s="6"/>
      <c r="G47" s="6"/>
      <c r="H47" s="6"/>
      <c r="I47" s="6"/>
      <c r="J47" s="6"/>
      <c r="K47" s="6"/>
      <c r="L47" s="6"/>
    </row>
    <row r="48" spans="1:27">
      <c r="A48" s="1">
        <f t="shared" ref="A48:A62" si="6">A47+0.01</f>
        <v>1.25</v>
      </c>
      <c r="C48" s="4">
        <v>1.25</v>
      </c>
      <c r="D48" s="3">
        <v>3</v>
      </c>
      <c r="E48" s="6"/>
      <c r="F48" s="6"/>
      <c r="G48" s="6"/>
      <c r="H48" s="6"/>
      <c r="I48" s="6"/>
      <c r="J48" s="6"/>
      <c r="K48" s="6"/>
      <c r="L48" s="6"/>
    </row>
    <row r="49" spans="1:12">
      <c r="A49" s="1">
        <f t="shared" si="6"/>
        <v>1.26</v>
      </c>
      <c r="C49" s="4">
        <v>1.26</v>
      </c>
      <c r="D49" s="3">
        <v>5</v>
      </c>
      <c r="E49" s="6"/>
      <c r="F49" s="6"/>
      <c r="G49" s="6"/>
      <c r="H49" s="6"/>
      <c r="I49" s="6"/>
      <c r="J49" s="6"/>
      <c r="K49" s="6"/>
      <c r="L49" s="6"/>
    </row>
    <row r="50" spans="1:12">
      <c r="A50" s="1">
        <f t="shared" si="6"/>
        <v>1.27</v>
      </c>
      <c r="C50" s="4">
        <v>1.27</v>
      </c>
      <c r="D50" s="3">
        <v>6</v>
      </c>
      <c r="E50" s="6"/>
      <c r="F50" s="6"/>
      <c r="G50" s="6"/>
      <c r="H50" s="6"/>
      <c r="I50" s="6"/>
      <c r="J50" s="6"/>
      <c r="K50" s="6"/>
      <c r="L50" s="6"/>
    </row>
    <row r="51" spans="1:12">
      <c r="A51" s="1">
        <f t="shared" si="6"/>
        <v>1.28</v>
      </c>
      <c r="C51" s="4">
        <v>1.28</v>
      </c>
      <c r="D51" s="3">
        <v>6</v>
      </c>
      <c r="E51" s="6"/>
      <c r="F51" s="6"/>
      <c r="G51" s="6"/>
      <c r="H51" s="6"/>
      <c r="I51" s="6"/>
      <c r="J51" s="6"/>
      <c r="K51" s="6"/>
      <c r="L51" s="6"/>
    </row>
    <row r="52" spans="1:12">
      <c r="A52" s="1">
        <f t="shared" si="6"/>
        <v>1.29</v>
      </c>
      <c r="C52" s="4">
        <v>1.29</v>
      </c>
      <c r="D52" s="3">
        <v>8</v>
      </c>
      <c r="E52" s="6"/>
      <c r="F52" s="6"/>
      <c r="G52" s="6"/>
      <c r="H52" s="6"/>
      <c r="I52" s="6"/>
      <c r="J52" s="6"/>
      <c r="K52" s="6"/>
      <c r="L52" s="6"/>
    </row>
    <row r="53" spans="1:12">
      <c r="A53" s="1">
        <f t="shared" si="6"/>
        <v>1.3</v>
      </c>
      <c r="C53" s="4">
        <v>1.3</v>
      </c>
      <c r="D53" s="3">
        <v>6</v>
      </c>
      <c r="E53" s="6"/>
      <c r="F53" s="6"/>
      <c r="G53" s="6"/>
      <c r="H53" s="6"/>
      <c r="I53" s="6"/>
      <c r="J53" s="6"/>
      <c r="K53" s="6"/>
      <c r="L53" s="6"/>
    </row>
    <row r="54" spans="1:12">
      <c r="A54" s="1">
        <f t="shared" si="6"/>
        <v>1.31</v>
      </c>
      <c r="C54" s="4">
        <v>1.31</v>
      </c>
      <c r="D54" s="3">
        <v>14</v>
      </c>
      <c r="E54" s="6"/>
      <c r="F54" s="6"/>
      <c r="G54" s="6"/>
      <c r="H54" s="6"/>
      <c r="I54" s="6"/>
      <c r="J54" s="6"/>
      <c r="K54" s="6"/>
      <c r="L54" s="6"/>
    </row>
    <row r="55" spans="1:12">
      <c r="A55" s="1">
        <f t="shared" si="6"/>
        <v>1.32</v>
      </c>
      <c r="C55" s="4">
        <v>1.32</v>
      </c>
      <c r="D55" s="3">
        <v>19</v>
      </c>
      <c r="E55" s="6"/>
      <c r="F55" s="6"/>
      <c r="G55" s="6"/>
      <c r="H55" s="6"/>
      <c r="I55" s="6"/>
      <c r="J55" s="6"/>
      <c r="K55" s="6"/>
      <c r="L55" s="6"/>
    </row>
    <row r="56" spans="1:12">
      <c r="A56" s="1">
        <f t="shared" si="6"/>
        <v>1.33</v>
      </c>
      <c r="C56" s="4">
        <v>1.33</v>
      </c>
      <c r="D56" s="3">
        <v>14</v>
      </c>
      <c r="E56" s="6"/>
      <c r="F56" s="6"/>
      <c r="G56" s="6"/>
      <c r="H56" s="6"/>
      <c r="I56" s="6"/>
      <c r="J56" s="6"/>
      <c r="K56" s="6"/>
      <c r="L56" s="6"/>
    </row>
    <row r="57" spans="1:12">
      <c r="A57" s="1">
        <f t="shared" si="6"/>
        <v>1.34</v>
      </c>
      <c r="C57" s="4">
        <v>1.34</v>
      </c>
      <c r="D57" s="3">
        <v>16</v>
      </c>
      <c r="E57" s="6"/>
      <c r="F57" s="6"/>
      <c r="G57" s="6"/>
      <c r="H57" s="6"/>
      <c r="I57" s="6"/>
      <c r="J57" s="6"/>
      <c r="K57" s="6"/>
      <c r="L57" s="6"/>
    </row>
    <row r="58" spans="1:12">
      <c r="A58" s="1">
        <f t="shared" si="6"/>
        <v>1.35</v>
      </c>
      <c r="C58" s="4">
        <v>1.35</v>
      </c>
      <c r="D58" s="3">
        <v>14</v>
      </c>
      <c r="E58" s="6"/>
      <c r="F58" s="6"/>
      <c r="G58" s="6"/>
      <c r="H58" s="6"/>
      <c r="I58" s="6"/>
      <c r="J58" s="6"/>
      <c r="K58" s="6"/>
      <c r="L58" s="6"/>
    </row>
    <row r="59" spans="1:12">
      <c r="A59" s="1">
        <f t="shared" si="6"/>
        <v>1.36</v>
      </c>
      <c r="C59" s="4">
        <v>1.36</v>
      </c>
      <c r="D59" s="3">
        <v>8</v>
      </c>
      <c r="E59" s="6"/>
      <c r="F59" s="6"/>
      <c r="G59" s="6"/>
      <c r="H59" s="6"/>
      <c r="I59" s="6"/>
      <c r="J59" s="6"/>
      <c r="K59" s="6"/>
      <c r="L59" s="6"/>
    </row>
    <row r="60" spans="1:12">
      <c r="A60" s="1">
        <f t="shared" si="6"/>
        <v>1.37</v>
      </c>
      <c r="C60" s="4">
        <v>1.37</v>
      </c>
      <c r="D60" s="3">
        <v>6</v>
      </c>
      <c r="E60" s="6"/>
      <c r="F60" s="6"/>
      <c r="G60" s="6"/>
      <c r="H60" s="6"/>
      <c r="I60" s="6"/>
      <c r="J60" s="6"/>
      <c r="K60" s="6"/>
      <c r="L60" s="6"/>
    </row>
    <row r="61" spans="1:12">
      <c r="A61" s="1">
        <f t="shared" si="6"/>
        <v>1.3800000000000001</v>
      </c>
      <c r="C61" s="4">
        <v>1.3800000000000001</v>
      </c>
      <c r="D61" s="3">
        <v>1</v>
      </c>
      <c r="E61" s="6"/>
      <c r="F61" s="6"/>
      <c r="G61" s="6"/>
      <c r="H61" s="6"/>
      <c r="I61" s="6"/>
      <c r="J61" s="6"/>
      <c r="K61" s="6"/>
      <c r="L61" s="6"/>
    </row>
    <row r="62" spans="1:12">
      <c r="A62" s="1">
        <f t="shared" si="6"/>
        <v>1.3900000000000001</v>
      </c>
      <c r="C62" s="4">
        <v>1.3900000000000001</v>
      </c>
      <c r="D62" s="3">
        <v>0</v>
      </c>
      <c r="E62" s="6"/>
      <c r="F62" s="6"/>
      <c r="G62" s="6"/>
      <c r="H62" s="6"/>
      <c r="I62" s="6"/>
      <c r="J62" s="6"/>
      <c r="K62" s="6"/>
      <c r="L62" s="6"/>
    </row>
    <row r="63" spans="1:12" ht="15" thickBot="1">
      <c r="C63" s="2" t="s">
        <v>0</v>
      </c>
      <c r="D63" s="2">
        <v>0</v>
      </c>
      <c r="E63" s="6"/>
      <c r="F63" s="6"/>
      <c r="G63" s="6"/>
      <c r="H63" s="6"/>
      <c r="I63" s="6"/>
      <c r="J63" s="6"/>
      <c r="K63" s="6"/>
      <c r="L63" s="6"/>
    </row>
    <row r="64" spans="1:12">
      <c r="E64" s="6"/>
      <c r="F64" s="6"/>
      <c r="G64" s="6"/>
      <c r="H64" s="6"/>
      <c r="I64" s="6"/>
      <c r="J64" s="6"/>
      <c r="K64" s="6"/>
      <c r="L64" s="6"/>
    </row>
    <row r="65" spans="5:12">
      <c r="E65" s="6"/>
      <c r="F65" s="6"/>
      <c r="G65" s="6"/>
      <c r="H65" s="6"/>
      <c r="I65" s="6"/>
      <c r="J65" s="6"/>
      <c r="K65" s="6"/>
      <c r="L65" s="6"/>
    </row>
    <row r="66" spans="5:12">
      <c r="E66" s="6"/>
      <c r="F66" s="6"/>
      <c r="G66" s="6"/>
      <c r="H66" s="6"/>
      <c r="I66" s="6"/>
      <c r="J66" s="6"/>
      <c r="K66" s="6"/>
      <c r="L66" s="6"/>
    </row>
    <row r="67" spans="5:12">
      <c r="E67" s="6"/>
      <c r="F67" s="6"/>
      <c r="G67" s="6"/>
      <c r="H67" s="6"/>
      <c r="I67" s="6"/>
      <c r="J67" s="6"/>
      <c r="K67" s="6"/>
      <c r="L67" s="6"/>
    </row>
    <row r="68" spans="5:12">
      <c r="E68" s="6"/>
      <c r="F68" s="6"/>
      <c r="G68" s="6"/>
      <c r="H68" s="6"/>
      <c r="I68" s="6"/>
      <c r="J68" s="6"/>
      <c r="K68" s="6"/>
      <c r="L68" s="6"/>
    </row>
    <row r="69" spans="5:12">
      <c r="E69" s="6"/>
      <c r="F69" s="6"/>
      <c r="G69" s="6"/>
      <c r="H69" s="6"/>
      <c r="I69" s="6"/>
      <c r="J69" s="6"/>
      <c r="K69" s="6"/>
      <c r="L69" s="6"/>
    </row>
    <row r="70" spans="5:12">
      <c r="E70" s="6"/>
      <c r="F70" s="6"/>
      <c r="G70" s="6"/>
      <c r="H70" s="6"/>
      <c r="I70" s="6"/>
      <c r="J70" s="6"/>
      <c r="K70" s="6"/>
      <c r="L70" s="6"/>
    </row>
    <row r="71" spans="5:12">
      <c r="E71" s="6"/>
      <c r="F71" s="6"/>
      <c r="G71" s="6"/>
      <c r="H71" s="6"/>
      <c r="I71" s="6"/>
      <c r="J71" s="6"/>
      <c r="K71" s="6"/>
      <c r="L71" s="6"/>
    </row>
    <row r="72" spans="5:12">
      <c r="E72" s="6"/>
      <c r="F72" s="6"/>
      <c r="G72" s="6"/>
      <c r="H72" s="6"/>
      <c r="I72" s="6"/>
      <c r="J72" s="6"/>
      <c r="K72" s="6"/>
      <c r="L72" s="6"/>
    </row>
    <row r="73" spans="5:12">
      <c r="E73" s="6"/>
      <c r="F73" s="6"/>
      <c r="G73" s="6"/>
      <c r="H73" s="6"/>
      <c r="I73" s="6"/>
      <c r="J73" s="6"/>
      <c r="K73" s="6"/>
      <c r="L73" s="6"/>
    </row>
    <row r="74" spans="5:12">
      <c r="E74" s="6"/>
      <c r="F74" s="6"/>
      <c r="G74" s="6"/>
      <c r="H74" s="6"/>
      <c r="I74" s="6"/>
      <c r="J74" s="6"/>
      <c r="K74" s="6"/>
      <c r="L74" s="6"/>
    </row>
    <row r="75" spans="5:12">
      <c r="E75" s="6"/>
      <c r="F75" s="6"/>
      <c r="G75" s="6"/>
      <c r="H75" s="6"/>
      <c r="I75" s="6"/>
      <c r="J75" s="6"/>
      <c r="K75" s="6"/>
      <c r="L75" s="6"/>
    </row>
    <row r="76" spans="5:12">
      <c r="E76" s="6"/>
      <c r="F76" s="6"/>
      <c r="G76" s="6"/>
      <c r="H76" s="6"/>
      <c r="I76" s="6"/>
      <c r="J76" s="6"/>
      <c r="K76" s="6"/>
      <c r="L76" s="6"/>
    </row>
    <row r="77" spans="5:12">
      <c r="E77" s="6"/>
      <c r="F77" s="6"/>
      <c r="G77" s="6"/>
      <c r="H77" s="6"/>
      <c r="I77" s="6"/>
      <c r="J77" s="6"/>
      <c r="K77" s="6"/>
      <c r="L77" s="6"/>
    </row>
    <row r="78" spans="5:12">
      <c r="E78" s="6"/>
      <c r="F78" s="6"/>
      <c r="G78" s="6"/>
      <c r="H78" s="6"/>
      <c r="I78" s="6"/>
      <c r="J78" s="6"/>
      <c r="K78" s="6"/>
      <c r="L78" s="6"/>
    </row>
    <row r="79" spans="5:12">
      <c r="E79" s="6"/>
      <c r="F79" s="6"/>
      <c r="G79" s="6"/>
      <c r="H79" s="6"/>
      <c r="I79" s="6"/>
      <c r="J79" s="6"/>
      <c r="K79" s="6"/>
      <c r="L79" s="6"/>
    </row>
  </sheetData>
  <mergeCells count="4">
    <mergeCell ref="C9:D9"/>
    <mergeCell ref="E9:I9"/>
    <mergeCell ref="K9:L9"/>
    <mergeCell ref="M9:P9"/>
  </mergeCells>
  <phoneticPr fontId="16" type="noConversion"/>
  <pageMargins left="0.25" right="0.25" top="0.25" bottom="0.25" header="0.3" footer="0.3"/>
  <pageSetup orientation="landscape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6"/>
  <sheetViews>
    <sheetView topLeftCell="A8" zoomScale="70" zoomScaleNormal="70" zoomScalePageLayoutView="70" workbookViewId="0">
      <selection activeCell="AC32" sqref="AC32"/>
    </sheetView>
  </sheetViews>
  <sheetFormatPr baseColWidth="10" defaultColWidth="8.83203125" defaultRowHeight="14" x14ac:dyDescent="0"/>
  <cols>
    <col min="1" max="1" width="6.33203125" style="1" customWidth="1"/>
    <col min="2" max="2" width="16.1640625" style="1" customWidth="1"/>
    <col min="3" max="4" width="5.1640625" style="1" customWidth="1"/>
    <col min="5" max="9" width="6.83203125" style="1" customWidth="1"/>
    <col min="10" max="10" width="6.83203125" style="1" bestFit="1" customWidth="1"/>
    <col min="11" max="12" width="6.83203125" style="1" customWidth="1"/>
    <col min="13" max="16" width="3.6640625" style="1" customWidth="1"/>
    <col min="17" max="17" width="5.83203125" style="1" customWidth="1"/>
    <col min="18" max="18" width="5.5" style="1" customWidth="1"/>
    <col min="19" max="19" width="5.1640625" style="1" customWidth="1"/>
    <col min="20" max="20" width="9.83203125" style="1" customWidth="1"/>
    <col min="21" max="16384" width="8.83203125" style="1"/>
  </cols>
  <sheetData>
    <row r="1" spans="1:28">
      <c r="A1" s="1" t="s">
        <v>49</v>
      </c>
      <c r="B1" s="79"/>
    </row>
    <row r="2" spans="1:28">
      <c r="A2" s="1" t="s">
        <v>48</v>
      </c>
      <c r="B2" s="79"/>
    </row>
    <row r="3" spans="1:28">
      <c r="A3" s="1" t="s">
        <v>47</v>
      </c>
      <c r="B3" s="79"/>
    </row>
    <row r="4" spans="1:28">
      <c r="B4" s="79"/>
    </row>
    <row r="5" spans="1:28">
      <c r="B5" s="1" t="s">
        <v>46</v>
      </c>
      <c r="C5" s="1" t="s">
        <v>45</v>
      </c>
    </row>
    <row r="6" spans="1:28">
      <c r="A6" s="1" t="s">
        <v>93</v>
      </c>
      <c r="B6" s="79">
        <v>0.05</v>
      </c>
      <c r="C6" s="79">
        <v>1.27</v>
      </c>
      <c r="D6" s="79"/>
      <c r="E6" s="79"/>
      <c r="F6" s="79"/>
      <c r="G6" s="79"/>
      <c r="H6" s="79"/>
      <c r="I6" s="79"/>
      <c r="J6" s="79"/>
      <c r="K6" s="78"/>
      <c r="L6" s="80"/>
      <c r="M6" s="79"/>
      <c r="N6" s="79"/>
      <c r="O6" s="79"/>
      <c r="P6" s="79"/>
      <c r="Q6" s="79"/>
      <c r="R6" s="78"/>
      <c r="S6" s="78"/>
      <c r="T6" s="78"/>
    </row>
    <row r="7" spans="1:28">
      <c r="B7" s="79"/>
      <c r="C7" s="79"/>
      <c r="D7" s="79"/>
      <c r="E7" s="79"/>
      <c r="F7" s="79"/>
      <c r="G7" s="79"/>
      <c r="H7" s="79"/>
      <c r="I7" s="79"/>
      <c r="J7" s="79"/>
      <c r="K7" s="78"/>
      <c r="L7" s="80"/>
      <c r="M7" s="79"/>
      <c r="N7" s="79"/>
      <c r="O7" s="79"/>
      <c r="P7" s="79"/>
      <c r="Q7" s="79"/>
      <c r="R7" s="78"/>
      <c r="S7" s="78"/>
      <c r="T7" s="78"/>
    </row>
    <row r="8" spans="1:28">
      <c r="A8" s="1" t="s">
        <v>54</v>
      </c>
      <c r="B8" s="79"/>
      <c r="C8" s="79"/>
      <c r="D8" s="79"/>
      <c r="E8" s="79"/>
      <c r="F8" s="79"/>
      <c r="G8" s="79"/>
      <c r="H8" s="79"/>
      <c r="I8" s="79"/>
      <c r="J8" s="79"/>
      <c r="K8" s="80"/>
      <c r="L8" s="80"/>
      <c r="M8" s="79"/>
      <c r="N8" s="79"/>
      <c r="O8" s="79"/>
      <c r="P8" s="79"/>
      <c r="Q8" s="79"/>
      <c r="R8" s="78"/>
      <c r="S8" s="78"/>
      <c r="T8" s="78"/>
      <c r="V8" s="221" t="s">
        <v>42</v>
      </c>
      <c r="Y8" s="221"/>
    </row>
    <row r="9" spans="1:28" ht="42">
      <c r="A9" s="71" t="s">
        <v>32</v>
      </c>
      <c r="B9" s="76" t="s">
        <v>41</v>
      </c>
      <c r="C9" s="386" t="s">
        <v>40</v>
      </c>
      <c r="D9" s="387"/>
      <c r="E9" s="385" t="s">
        <v>39</v>
      </c>
      <c r="F9" s="385"/>
      <c r="G9" s="385"/>
      <c r="H9" s="385"/>
      <c r="I9" s="385"/>
      <c r="J9" s="75"/>
      <c r="K9" s="386" t="s">
        <v>38</v>
      </c>
      <c r="L9" s="387"/>
      <c r="M9" s="386" t="s">
        <v>37</v>
      </c>
      <c r="N9" s="384"/>
      <c r="O9" s="384"/>
      <c r="P9" s="384"/>
      <c r="Q9" s="74" t="s">
        <v>36</v>
      </c>
      <c r="R9" s="204" t="s">
        <v>70</v>
      </c>
      <c r="S9" s="203" t="s">
        <v>69</v>
      </c>
      <c r="T9" s="19" t="s">
        <v>33</v>
      </c>
      <c r="V9" s="19" t="s">
        <v>32</v>
      </c>
      <c r="W9" s="253" t="s">
        <v>58</v>
      </c>
      <c r="X9" s="69" t="s">
        <v>31</v>
      </c>
      <c r="Y9" s="68" t="s">
        <v>30</v>
      </c>
      <c r="Z9" s="19" t="s">
        <v>29</v>
      </c>
      <c r="AA9" s="67" t="s">
        <v>51</v>
      </c>
      <c r="AB9" s="67" t="s">
        <v>27</v>
      </c>
    </row>
    <row r="10" spans="1:28" s="10" customFormat="1">
      <c r="A10" s="16"/>
      <c r="B10" s="217"/>
      <c r="C10" s="219">
        <v>1</v>
      </c>
      <c r="D10" s="217">
        <v>2</v>
      </c>
      <c r="E10" s="219">
        <v>1</v>
      </c>
      <c r="F10" s="218">
        <v>2</v>
      </c>
      <c r="G10" s="218">
        <v>3</v>
      </c>
      <c r="H10" s="218">
        <v>4</v>
      </c>
      <c r="I10" s="218">
        <v>5</v>
      </c>
      <c r="J10" s="217">
        <v>6</v>
      </c>
      <c r="K10" s="219">
        <v>1</v>
      </c>
      <c r="L10" s="217">
        <v>2</v>
      </c>
      <c r="M10" s="219">
        <v>1</v>
      </c>
      <c r="N10" s="218">
        <v>2</v>
      </c>
      <c r="O10" s="218">
        <v>3</v>
      </c>
      <c r="P10" s="218">
        <v>4</v>
      </c>
      <c r="Q10" s="217"/>
      <c r="R10" s="216"/>
      <c r="S10" s="215"/>
      <c r="T10" s="35"/>
      <c r="V10" s="35"/>
      <c r="W10" s="35"/>
      <c r="X10" s="59"/>
      <c r="Y10" s="59"/>
      <c r="Z10" s="59"/>
      <c r="AA10" s="59"/>
    </row>
    <row r="11" spans="1:28">
      <c r="A11" s="12"/>
      <c r="B11" s="54"/>
      <c r="C11" s="56"/>
      <c r="D11" s="54"/>
      <c r="E11" s="56"/>
      <c r="F11" s="12"/>
      <c r="G11" s="12"/>
      <c r="H11" s="12"/>
      <c r="I11" s="12"/>
      <c r="J11" s="54"/>
      <c r="K11" s="56"/>
      <c r="L11" s="54"/>
      <c r="M11" s="56"/>
      <c r="N11" s="12"/>
      <c r="O11" s="12"/>
      <c r="P11" s="12"/>
      <c r="Q11" s="54"/>
      <c r="R11" s="56"/>
      <c r="S11" s="54"/>
      <c r="T11" s="35"/>
      <c r="V11" s="35"/>
      <c r="W11" s="35"/>
      <c r="X11" s="35"/>
      <c r="Y11" s="35"/>
      <c r="Z11" s="35"/>
      <c r="AA11" s="35"/>
    </row>
    <row r="12" spans="1:28">
      <c r="A12" s="12">
        <v>21</v>
      </c>
      <c r="B12" s="54"/>
      <c r="C12" s="213">
        <v>103</v>
      </c>
      <c r="D12" s="182">
        <v>103</v>
      </c>
      <c r="E12" s="118">
        <v>1.29</v>
      </c>
      <c r="F12" s="42">
        <v>1.28</v>
      </c>
      <c r="G12" s="42">
        <v>1.29</v>
      </c>
      <c r="H12" s="42">
        <v>1.28</v>
      </c>
      <c r="I12" s="42"/>
      <c r="J12" s="212"/>
      <c r="K12" s="166">
        <v>26.2</v>
      </c>
      <c r="L12" s="165">
        <v>26.21</v>
      </c>
      <c r="M12" s="273"/>
      <c r="N12" s="272"/>
      <c r="O12" s="272"/>
      <c r="P12" s="271"/>
      <c r="Q12" s="270"/>
      <c r="R12" s="37">
        <v>46.4</v>
      </c>
      <c r="S12" s="36">
        <v>13.378070003072271</v>
      </c>
      <c r="T12" s="35">
        <v>3</v>
      </c>
      <c r="V12" s="35">
        <v>21</v>
      </c>
      <c r="W12" s="160">
        <f t="shared" ref="W12:W25" si="0">MAX(E12:H12)-MIN(E12:H12)</f>
        <v>1.0000000000000009E-2</v>
      </c>
      <c r="X12" s="35">
        <v>0</v>
      </c>
      <c r="Y12" s="35">
        <v>0</v>
      </c>
      <c r="Z12" s="34">
        <v>0</v>
      </c>
      <c r="AA12" s="35">
        <f t="shared" ref="AA12:AA25" si="1">IF(OR(M12="Y",N12="Y",O12="Y",P12="Y"),1,0)</f>
        <v>0</v>
      </c>
    </row>
    <row r="13" spans="1:28">
      <c r="A13" s="44">
        <v>22</v>
      </c>
      <c r="B13" s="54"/>
      <c r="C13" s="213">
        <v>103</v>
      </c>
      <c r="D13" s="182">
        <v>103</v>
      </c>
      <c r="E13" s="118">
        <v>1.27</v>
      </c>
      <c r="F13" s="42">
        <v>1.3</v>
      </c>
      <c r="G13" s="42">
        <v>1.27</v>
      </c>
      <c r="H13" s="42">
        <v>1.28</v>
      </c>
      <c r="I13" s="42"/>
      <c r="J13" s="54"/>
      <c r="K13" s="166">
        <v>26.34</v>
      </c>
      <c r="L13" s="165">
        <v>26.25</v>
      </c>
      <c r="M13" s="273"/>
      <c r="N13" s="272"/>
      <c r="O13" s="272"/>
      <c r="P13" s="271"/>
      <c r="Q13" s="270"/>
      <c r="R13" s="37">
        <v>46.4</v>
      </c>
      <c r="S13" s="36">
        <v>13.384360052208233</v>
      </c>
      <c r="T13" s="35">
        <v>3</v>
      </c>
      <c r="V13" s="172">
        <v>22</v>
      </c>
      <c r="W13" s="160">
        <f t="shared" si="0"/>
        <v>3.0000000000000027E-2</v>
      </c>
      <c r="X13" s="35">
        <v>0</v>
      </c>
      <c r="Y13" s="35">
        <f t="shared" ref="Y13:Y25" si="2">IF(OR(K13&gt;27, L13&gt;27), 1,0)</f>
        <v>0</v>
      </c>
      <c r="Z13" s="34">
        <v>0</v>
      </c>
      <c r="AA13" s="35">
        <f t="shared" si="1"/>
        <v>0</v>
      </c>
      <c r="AB13" t="s">
        <v>68</v>
      </c>
    </row>
    <row r="14" spans="1:28">
      <c r="A14" s="12">
        <v>23</v>
      </c>
      <c r="B14" s="54"/>
      <c r="C14" s="213">
        <v>103</v>
      </c>
      <c r="D14" s="182">
        <v>103</v>
      </c>
      <c r="E14" s="118">
        <v>1.28</v>
      </c>
      <c r="F14" s="42">
        <v>1.29</v>
      </c>
      <c r="G14" s="42">
        <v>1.29</v>
      </c>
      <c r="H14" s="42">
        <v>1.3</v>
      </c>
      <c r="I14" s="42"/>
      <c r="J14" s="54"/>
      <c r="K14" s="166">
        <v>26.2</v>
      </c>
      <c r="L14" s="165">
        <v>26.22</v>
      </c>
      <c r="M14" s="273"/>
      <c r="N14" s="272"/>
      <c r="O14" s="272"/>
      <c r="P14" s="271"/>
      <c r="Q14" s="270"/>
      <c r="R14" s="37">
        <v>46.5</v>
      </c>
      <c r="S14" s="36">
        <v>13.352389634100588</v>
      </c>
      <c r="T14" s="35">
        <v>3</v>
      </c>
      <c r="V14" s="35">
        <v>23</v>
      </c>
      <c r="W14" s="160">
        <f t="shared" si="0"/>
        <v>2.0000000000000018E-2</v>
      </c>
      <c r="X14" s="35">
        <v>0</v>
      </c>
      <c r="Y14" s="35">
        <f t="shared" si="2"/>
        <v>0</v>
      </c>
      <c r="Z14" s="34">
        <v>0</v>
      </c>
      <c r="AA14" s="35">
        <f t="shared" si="1"/>
        <v>0</v>
      </c>
    </row>
    <row r="15" spans="1:28">
      <c r="A15" s="12">
        <v>24</v>
      </c>
      <c r="B15" s="54"/>
      <c r="C15" s="213">
        <v>103</v>
      </c>
      <c r="D15" s="182">
        <v>103</v>
      </c>
      <c r="E15" s="118">
        <v>1.3</v>
      </c>
      <c r="F15" s="42">
        <v>1.3</v>
      </c>
      <c r="G15" s="42">
        <v>1.31</v>
      </c>
      <c r="H15" s="42">
        <v>1.3</v>
      </c>
      <c r="I15" s="42"/>
      <c r="J15" s="54"/>
      <c r="K15" s="166">
        <v>26.2</v>
      </c>
      <c r="L15" s="165">
        <v>26.15</v>
      </c>
      <c r="M15" s="273"/>
      <c r="N15" s="272"/>
      <c r="O15" s="272"/>
      <c r="P15" s="271"/>
      <c r="Q15" s="270"/>
      <c r="R15" s="37">
        <v>46.9</v>
      </c>
      <c r="S15" s="36">
        <v>13.355839631749031</v>
      </c>
      <c r="T15" s="35">
        <v>3</v>
      </c>
      <c r="V15" s="35">
        <v>24</v>
      </c>
      <c r="W15" s="160">
        <f t="shared" si="0"/>
        <v>1.0000000000000009E-2</v>
      </c>
      <c r="X15" s="35">
        <v>0</v>
      </c>
      <c r="Y15" s="35">
        <f t="shared" si="2"/>
        <v>0</v>
      </c>
      <c r="Z15" s="34">
        <v>0</v>
      </c>
      <c r="AA15" s="35">
        <f t="shared" si="1"/>
        <v>0</v>
      </c>
    </row>
    <row r="16" spans="1:28">
      <c r="A16" s="258">
        <v>25</v>
      </c>
      <c r="B16" s="54" t="s">
        <v>95</v>
      </c>
      <c r="C16" s="213">
        <v>103</v>
      </c>
      <c r="D16" s="182">
        <v>103</v>
      </c>
      <c r="E16" s="118">
        <v>1.3</v>
      </c>
      <c r="F16" s="42">
        <v>1.3</v>
      </c>
      <c r="G16" s="42">
        <v>1.29</v>
      </c>
      <c r="H16" s="42">
        <v>1.3</v>
      </c>
      <c r="I16" s="42"/>
      <c r="J16" s="54"/>
      <c r="K16" s="166">
        <v>26.23</v>
      </c>
      <c r="L16" s="165">
        <v>26.37</v>
      </c>
      <c r="M16" s="273"/>
      <c r="N16" s="272"/>
      <c r="O16" s="272"/>
      <c r="P16" s="271"/>
      <c r="Q16" s="270"/>
      <c r="R16" s="37">
        <v>47</v>
      </c>
      <c r="S16" s="36">
        <v>13.372035417969638</v>
      </c>
      <c r="T16" s="35">
        <v>3</v>
      </c>
      <c r="V16" s="257">
        <v>25</v>
      </c>
      <c r="W16" s="160">
        <f t="shared" si="0"/>
        <v>1.0000000000000009E-2</v>
      </c>
      <c r="X16" s="35">
        <v>0</v>
      </c>
      <c r="Y16" s="35">
        <f t="shared" si="2"/>
        <v>0</v>
      </c>
      <c r="Z16" s="34">
        <v>0</v>
      </c>
      <c r="AA16" s="35">
        <f t="shared" si="1"/>
        <v>0</v>
      </c>
      <c r="AB16" t="s">
        <v>94</v>
      </c>
    </row>
    <row r="17" spans="1:28">
      <c r="A17" s="12">
        <v>26</v>
      </c>
      <c r="B17" s="54"/>
      <c r="C17" s="213">
        <v>103</v>
      </c>
      <c r="D17" s="182">
        <v>103</v>
      </c>
      <c r="E17" s="118">
        <v>1.28</v>
      </c>
      <c r="F17" s="42">
        <v>1.28</v>
      </c>
      <c r="G17" s="42">
        <v>1.28</v>
      </c>
      <c r="H17" s="42">
        <v>1.28</v>
      </c>
      <c r="I17" s="42"/>
      <c r="J17" s="54"/>
      <c r="K17" s="166">
        <v>26.26</v>
      </c>
      <c r="L17" s="165">
        <v>26.26</v>
      </c>
      <c r="M17" s="273"/>
      <c r="N17" s="272"/>
      <c r="O17" s="272"/>
      <c r="P17" s="271"/>
      <c r="Q17" s="274" t="s">
        <v>21</v>
      </c>
      <c r="R17" s="37">
        <v>46.3</v>
      </c>
      <c r="S17" s="36">
        <v>13.373315020075568</v>
      </c>
      <c r="T17" s="35">
        <v>3</v>
      </c>
      <c r="V17" s="35">
        <v>26</v>
      </c>
      <c r="W17" s="160">
        <f t="shared" si="0"/>
        <v>0</v>
      </c>
      <c r="X17" s="35">
        <v>0</v>
      </c>
      <c r="Y17" s="35">
        <f t="shared" si="2"/>
        <v>0</v>
      </c>
      <c r="Z17" s="34">
        <v>0</v>
      </c>
      <c r="AA17" s="35">
        <f t="shared" si="1"/>
        <v>0</v>
      </c>
    </row>
    <row r="18" spans="1:28">
      <c r="A18" s="12">
        <v>27</v>
      </c>
      <c r="B18" s="54"/>
      <c r="C18" s="213">
        <v>103</v>
      </c>
      <c r="D18" s="182">
        <v>103</v>
      </c>
      <c r="E18" s="118">
        <v>1.28</v>
      </c>
      <c r="F18" s="42">
        <v>1.28</v>
      </c>
      <c r="G18" s="42">
        <v>1.27</v>
      </c>
      <c r="H18" s="42">
        <v>1.27</v>
      </c>
      <c r="I18" s="42"/>
      <c r="J18" s="54"/>
      <c r="K18" s="166">
        <v>26.21</v>
      </c>
      <c r="L18" s="165">
        <v>26.25</v>
      </c>
      <c r="M18" s="273"/>
      <c r="N18" s="272"/>
      <c r="O18" s="272"/>
      <c r="P18" s="271"/>
      <c r="Q18" s="270"/>
      <c r="R18" s="37">
        <v>46</v>
      </c>
      <c r="S18" s="36">
        <v>13.354023360396278</v>
      </c>
      <c r="T18" s="35">
        <v>3</v>
      </c>
      <c r="V18" s="35">
        <v>27</v>
      </c>
      <c r="W18" s="160">
        <f t="shared" si="0"/>
        <v>1.0000000000000009E-2</v>
      </c>
      <c r="X18" s="35">
        <v>0</v>
      </c>
      <c r="Y18" s="35">
        <f t="shared" si="2"/>
        <v>0</v>
      </c>
      <c r="Z18" s="34">
        <v>0</v>
      </c>
      <c r="AA18" s="35">
        <f t="shared" si="1"/>
        <v>0</v>
      </c>
    </row>
    <row r="19" spans="1:28">
      <c r="A19" s="12">
        <v>28</v>
      </c>
      <c r="B19" s="54"/>
      <c r="C19" s="213">
        <v>103</v>
      </c>
      <c r="D19" s="182">
        <v>103</v>
      </c>
      <c r="E19" s="118">
        <v>1.3</v>
      </c>
      <c r="F19" s="42">
        <v>1.3</v>
      </c>
      <c r="G19" s="42">
        <v>1.3</v>
      </c>
      <c r="H19" s="42">
        <v>1.31</v>
      </c>
      <c r="I19" s="42"/>
      <c r="J19" s="54"/>
      <c r="K19" s="166">
        <v>26.35</v>
      </c>
      <c r="L19" s="165">
        <v>26.23</v>
      </c>
      <c r="M19" s="273"/>
      <c r="N19" s="272"/>
      <c r="O19" s="272"/>
      <c r="P19" s="271"/>
      <c r="Q19" s="270"/>
      <c r="R19" s="37">
        <v>47.1</v>
      </c>
      <c r="S19" s="36">
        <v>13.35412276324557</v>
      </c>
      <c r="T19" s="35">
        <v>3</v>
      </c>
      <c r="V19" s="35">
        <v>28</v>
      </c>
      <c r="W19" s="160">
        <f t="shared" si="0"/>
        <v>1.0000000000000009E-2</v>
      </c>
      <c r="X19" s="35">
        <v>0</v>
      </c>
      <c r="Y19" s="35">
        <f t="shared" si="2"/>
        <v>0</v>
      </c>
      <c r="Z19" s="34">
        <v>0</v>
      </c>
      <c r="AA19" s="35">
        <f t="shared" si="1"/>
        <v>0</v>
      </c>
    </row>
    <row r="20" spans="1:28">
      <c r="A20" s="44">
        <v>29</v>
      </c>
      <c r="B20" s="54"/>
      <c r="C20" s="213">
        <v>103</v>
      </c>
      <c r="D20" s="182">
        <v>103</v>
      </c>
      <c r="E20" s="118">
        <v>1.25</v>
      </c>
      <c r="F20" s="42">
        <v>1.27</v>
      </c>
      <c r="G20" s="42">
        <v>1.26</v>
      </c>
      <c r="H20" s="42">
        <v>1.28</v>
      </c>
      <c r="I20" s="42"/>
      <c r="J20" s="54"/>
      <c r="K20" s="166">
        <v>26.25</v>
      </c>
      <c r="L20" s="165">
        <v>26.19</v>
      </c>
      <c r="M20" s="273"/>
      <c r="N20" s="272"/>
      <c r="O20" s="272"/>
      <c r="P20" s="271"/>
      <c r="Q20" s="274" t="s">
        <v>21</v>
      </c>
      <c r="R20" s="37">
        <v>45.4</v>
      </c>
      <c r="S20" s="36">
        <v>13.289095281613051</v>
      </c>
      <c r="T20" s="35">
        <v>3</v>
      </c>
      <c r="V20" s="172">
        <v>29</v>
      </c>
      <c r="W20" s="160">
        <f t="shared" si="0"/>
        <v>3.0000000000000027E-2</v>
      </c>
      <c r="X20" s="35">
        <v>0</v>
      </c>
      <c r="Y20" s="35">
        <f t="shared" si="2"/>
        <v>0</v>
      </c>
      <c r="Z20" s="34">
        <v>0</v>
      </c>
      <c r="AA20" s="35">
        <f t="shared" si="1"/>
        <v>0</v>
      </c>
      <c r="AB20" t="s">
        <v>68</v>
      </c>
    </row>
    <row r="21" spans="1:28">
      <c r="A21" s="12">
        <v>30</v>
      </c>
      <c r="B21" s="54"/>
      <c r="C21" s="213">
        <v>103</v>
      </c>
      <c r="D21" s="182">
        <v>103</v>
      </c>
      <c r="E21" s="118">
        <v>1.29</v>
      </c>
      <c r="F21" s="42">
        <v>1.29</v>
      </c>
      <c r="G21" s="42">
        <v>1.29</v>
      </c>
      <c r="H21" s="42">
        <v>1.28</v>
      </c>
      <c r="I21" s="42"/>
      <c r="J21" s="54"/>
      <c r="K21" s="166">
        <v>26.22</v>
      </c>
      <c r="L21" s="165">
        <v>26.23</v>
      </c>
      <c r="M21" s="273"/>
      <c r="N21" s="272"/>
      <c r="O21" s="272"/>
      <c r="P21" s="271"/>
      <c r="Q21" s="270"/>
      <c r="R21" s="37">
        <v>46.4</v>
      </c>
      <c r="S21" s="36">
        <v>13.341910446918952</v>
      </c>
      <c r="T21" s="35">
        <v>3</v>
      </c>
      <c r="V21" s="35">
        <v>30</v>
      </c>
      <c r="W21" s="160">
        <f t="shared" si="0"/>
        <v>1.0000000000000009E-2</v>
      </c>
      <c r="X21" s="35">
        <v>0</v>
      </c>
      <c r="Y21" s="35">
        <f t="shared" si="2"/>
        <v>0</v>
      </c>
      <c r="Z21" s="34">
        <v>0</v>
      </c>
      <c r="AA21" s="35">
        <f t="shared" si="1"/>
        <v>0</v>
      </c>
    </row>
    <row r="22" spans="1:28">
      <c r="A22" s="12">
        <v>31</v>
      </c>
      <c r="B22" s="54"/>
      <c r="C22" s="213">
        <v>103</v>
      </c>
      <c r="D22" s="182">
        <v>103</v>
      </c>
      <c r="E22" s="118">
        <v>1.27</v>
      </c>
      <c r="F22" s="42">
        <v>1.28</v>
      </c>
      <c r="G22" s="42">
        <v>1.26</v>
      </c>
      <c r="H22" s="42">
        <v>1.27</v>
      </c>
      <c r="I22" s="42"/>
      <c r="J22" s="54"/>
      <c r="K22" s="166">
        <v>26.3</v>
      </c>
      <c r="L22" s="165">
        <v>26.18</v>
      </c>
      <c r="M22" s="273"/>
      <c r="N22" s="272"/>
      <c r="O22" s="272"/>
      <c r="P22" s="271"/>
      <c r="Q22" s="270"/>
      <c r="R22" s="37">
        <v>46.2</v>
      </c>
      <c r="S22" s="36">
        <v>13.459756377244224</v>
      </c>
      <c r="T22" s="35">
        <v>3</v>
      </c>
      <c r="V22" s="35">
        <v>31</v>
      </c>
      <c r="W22" s="160">
        <f t="shared" si="0"/>
        <v>2.0000000000000018E-2</v>
      </c>
      <c r="X22" s="35">
        <v>0</v>
      </c>
      <c r="Y22" s="35">
        <f t="shared" si="2"/>
        <v>0</v>
      </c>
      <c r="Z22" s="34">
        <v>0</v>
      </c>
      <c r="AA22" s="35">
        <f t="shared" si="1"/>
        <v>0</v>
      </c>
    </row>
    <row r="23" spans="1:28">
      <c r="A23" s="12">
        <v>32</v>
      </c>
      <c r="B23" s="54"/>
      <c r="C23" s="213">
        <v>103</v>
      </c>
      <c r="D23" s="182">
        <v>103</v>
      </c>
      <c r="E23" s="118">
        <v>1.27</v>
      </c>
      <c r="F23" s="42">
        <v>1.26</v>
      </c>
      <c r="G23" s="42">
        <v>1.28</v>
      </c>
      <c r="H23" s="42">
        <v>1.27</v>
      </c>
      <c r="I23" s="42"/>
      <c r="J23" s="54"/>
      <c r="K23" s="166">
        <v>26.18</v>
      </c>
      <c r="L23" s="165">
        <v>26.2</v>
      </c>
      <c r="M23" s="273"/>
      <c r="N23" s="272"/>
      <c r="O23" s="272"/>
      <c r="P23" s="271"/>
      <c r="Q23" s="270"/>
      <c r="R23" s="37">
        <v>45.9</v>
      </c>
      <c r="S23" s="36">
        <v>13.397884868034774</v>
      </c>
      <c r="T23" s="35">
        <v>3</v>
      </c>
      <c r="V23" s="35">
        <v>32</v>
      </c>
      <c r="W23" s="160">
        <f t="shared" si="0"/>
        <v>2.0000000000000018E-2</v>
      </c>
      <c r="X23" s="35">
        <v>0</v>
      </c>
      <c r="Y23" s="35">
        <f t="shared" si="2"/>
        <v>0</v>
      </c>
      <c r="Z23" s="34">
        <v>0</v>
      </c>
      <c r="AA23" s="35">
        <f t="shared" si="1"/>
        <v>0</v>
      </c>
    </row>
    <row r="24" spans="1:28">
      <c r="A24" s="44">
        <v>33</v>
      </c>
      <c r="B24" s="54"/>
      <c r="C24" s="213">
        <v>103</v>
      </c>
      <c r="D24" s="182">
        <v>103</v>
      </c>
      <c r="E24" s="118">
        <v>1.27</v>
      </c>
      <c r="F24" s="42">
        <v>1.28</v>
      </c>
      <c r="G24" s="42">
        <v>1.29</v>
      </c>
      <c r="H24" s="42">
        <v>1.28</v>
      </c>
      <c r="I24" s="42">
        <v>1.25</v>
      </c>
      <c r="J24" s="212">
        <v>1.26</v>
      </c>
      <c r="K24" s="166">
        <v>26.2</v>
      </c>
      <c r="L24" s="165">
        <v>26.23</v>
      </c>
      <c r="M24" s="273"/>
      <c r="N24" s="272"/>
      <c r="O24" s="272"/>
      <c r="P24" s="271"/>
      <c r="Q24" s="274" t="s">
        <v>21</v>
      </c>
      <c r="R24" s="37">
        <v>46.2</v>
      </c>
      <c r="S24" s="36">
        <v>13.454934912516846</v>
      </c>
      <c r="T24" s="35">
        <v>3</v>
      </c>
      <c r="V24" s="172">
        <v>33</v>
      </c>
      <c r="W24" s="160">
        <f t="shared" si="0"/>
        <v>2.0000000000000018E-2</v>
      </c>
      <c r="X24" s="35">
        <v>0</v>
      </c>
      <c r="Y24" s="35">
        <f t="shared" si="2"/>
        <v>0</v>
      </c>
      <c r="Z24" s="34">
        <v>0</v>
      </c>
      <c r="AA24" s="35">
        <f t="shared" si="1"/>
        <v>0</v>
      </c>
      <c r="AB24" t="s">
        <v>68</v>
      </c>
    </row>
    <row r="25" spans="1:28" s="71" customFormat="1">
      <c r="A25" s="279">
        <v>34</v>
      </c>
      <c r="B25" s="74"/>
      <c r="C25" s="210">
        <v>103</v>
      </c>
      <c r="D25" s="209">
        <v>103</v>
      </c>
      <c r="E25" s="112">
        <v>1.26</v>
      </c>
      <c r="F25" s="208">
        <v>1.28</v>
      </c>
      <c r="G25" s="208">
        <v>1.25</v>
      </c>
      <c r="H25" s="208">
        <v>1.27</v>
      </c>
      <c r="I25" s="208"/>
      <c r="J25" s="74"/>
      <c r="K25" s="157">
        <v>26.22</v>
      </c>
      <c r="L25" s="156">
        <v>26.14</v>
      </c>
      <c r="M25" s="269"/>
      <c r="N25" s="268"/>
      <c r="O25" s="268"/>
      <c r="P25" s="267"/>
      <c r="Q25" s="266"/>
      <c r="R25" s="21">
        <v>45.4</v>
      </c>
      <c r="S25" s="20">
        <v>13.309399476084577</v>
      </c>
      <c r="T25" s="19">
        <v>3</v>
      </c>
      <c r="V25" s="278">
        <v>34</v>
      </c>
      <c r="W25" s="151">
        <f t="shared" si="0"/>
        <v>3.0000000000000027E-2</v>
      </c>
      <c r="X25" s="19">
        <v>0</v>
      </c>
      <c r="Y25" s="19">
        <f t="shared" si="2"/>
        <v>0</v>
      </c>
      <c r="Z25" s="18">
        <v>0</v>
      </c>
      <c r="AA25" s="19">
        <f t="shared" si="1"/>
        <v>0</v>
      </c>
      <c r="AB25" s="103" t="s">
        <v>68</v>
      </c>
    </row>
    <row r="26" spans="1:28">
      <c r="Y26" s="1">
        <f>SUM(Y12:Y25)</f>
        <v>0</v>
      </c>
      <c r="Z26" s="1">
        <f>SUM(Z12:Z25)</f>
        <v>0</v>
      </c>
      <c r="AA26" s="1">
        <f>SUM(AA12:AA25)</f>
        <v>0</v>
      </c>
    </row>
    <row r="28" spans="1:28">
      <c r="A28" s="12" t="s">
        <v>17</v>
      </c>
      <c r="C28" s="1" t="s">
        <v>16</v>
      </c>
      <c r="E28" s="1" t="s">
        <v>15</v>
      </c>
      <c r="K28" s="1" t="s">
        <v>14</v>
      </c>
      <c r="R28" s="1" t="s">
        <v>13</v>
      </c>
      <c r="S28" s="1" t="s">
        <v>12</v>
      </c>
    </row>
    <row r="30" spans="1:28">
      <c r="A30" s="1" t="s">
        <v>11</v>
      </c>
      <c r="C30" s="1">
        <f>4*25.4</f>
        <v>101.6</v>
      </c>
      <c r="E30" s="1">
        <f>C6</f>
        <v>1.27</v>
      </c>
      <c r="K30" s="11">
        <v>25.4</v>
      </c>
    </row>
    <row r="31" spans="1:28">
      <c r="A31" s="1" t="s">
        <v>10</v>
      </c>
      <c r="C31" s="1">
        <f>MODE(C12:D25)</f>
        <v>103</v>
      </c>
      <c r="E31" s="1">
        <f>MODE(E12:H25)</f>
        <v>1.28</v>
      </c>
      <c r="K31" s="1">
        <f>MODE(K12:L25)</f>
        <v>26.2</v>
      </c>
      <c r="R31" s="1">
        <f>MODE(R12:R25)</f>
        <v>46.4</v>
      </c>
      <c r="S31" s="1" t="e">
        <f>MODE(#REF!)</f>
        <v>#REF!</v>
      </c>
    </row>
    <row r="32" spans="1:28">
      <c r="A32" s="1" t="s">
        <v>9</v>
      </c>
      <c r="C32" s="10">
        <f>AVERAGE(C12:D25)</f>
        <v>103</v>
      </c>
      <c r="E32" s="7">
        <f>AVERAGE(E12:H25)</f>
        <v>1.2821428571428577</v>
      </c>
      <c r="K32" s="6">
        <f>AVERAGE(K12:L25)</f>
        <v>26.231071428571425</v>
      </c>
      <c r="R32" s="9">
        <f>AVERAGE(R12:R25)</f>
        <v>46.292857142857144</v>
      </c>
      <c r="S32" s="9">
        <f>AVERAGE(S12:S25)</f>
        <v>13.369795517516398</v>
      </c>
    </row>
    <row r="33" spans="1:25">
      <c r="A33" s="1" t="s">
        <v>8</v>
      </c>
      <c r="C33" s="1">
        <f>STDEV(C12:D25)</f>
        <v>0</v>
      </c>
      <c r="D33" s="248"/>
      <c r="E33" s="1">
        <f>STDEV(E12:H25)</f>
        <v>1.436084141802863E-2</v>
      </c>
      <c r="K33" s="1">
        <f>STDEV(K12:L25)</f>
        <v>5.4659842779671952E-2</v>
      </c>
      <c r="R33" s="1">
        <f>STDEV(R12:R25)</f>
        <v>0.5151016116550895</v>
      </c>
      <c r="S33" s="1">
        <f>STDEV(S12:S25)</f>
        <v>4.67057862172848E-2</v>
      </c>
      <c r="Y33"/>
    </row>
    <row r="34" spans="1:25">
      <c r="A34" s="8" t="s">
        <v>7</v>
      </c>
      <c r="D34" s="248"/>
      <c r="E34" s="7">
        <f>E32+E33</f>
        <v>1.2965036985608864</v>
      </c>
      <c r="K34" s="6">
        <f>K32+K33</f>
        <v>26.285731271351096</v>
      </c>
      <c r="R34" s="9">
        <f>R32+R33</f>
        <v>46.807958754512235</v>
      </c>
      <c r="S34" s="9">
        <f>S32+S33</f>
        <v>13.416501303733682</v>
      </c>
    </row>
    <row r="35" spans="1:25">
      <c r="A35" s="8" t="s">
        <v>6</v>
      </c>
      <c r="D35" s="248"/>
      <c r="E35" s="7">
        <f>E32-E33</f>
        <v>1.267782015724829</v>
      </c>
      <c r="K35" s="6">
        <f>K32-K33</f>
        <v>26.176411585791755</v>
      </c>
      <c r="R35" s="1">
        <f>R32-R33</f>
        <v>45.777755531202054</v>
      </c>
      <c r="S35" s="9">
        <f>S32-S33</f>
        <v>13.323089731299113</v>
      </c>
    </row>
    <row r="36" spans="1:25">
      <c r="A36" s="1" t="s">
        <v>72</v>
      </c>
      <c r="C36" s="6">
        <f>MAX(C12:D25)-C30</f>
        <v>1.4000000000000057</v>
      </c>
      <c r="E36" s="7">
        <f>MAX(E12:J25)-E30</f>
        <v>4.0000000000000036E-2</v>
      </c>
      <c r="K36" s="6">
        <f>MAX(K12:L25)-$K30</f>
        <v>0.97000000000000242</v>
      </c>
    </row>
    <row r="37" spans="1:25">
      <c r="A37" s="1" t="s">
        <v>71</v>
      </c>
      <c r="C37" s="6">
        <f>MIN(C12:D25)-C30</f>
        <v>1.4000000000000057</v>
      </c>
      <c r="E37" s="7">
        <f>MIN(E12:J25)-E30</f>
        <v>-2.0000000000000018E-2</v>
      </c>
      <c r="K37" s="6">
        <f>MIN(K12:L25)-K30</f>
        <v>0.74000000000000199</v>
      </c>
    </row>
    <row r="38" spans="1:25" ht="15" thickBot="1"/>
    <row r="39" spans="1:25">
      <c r="A39" s="1" t="s">
        <v>3</v>
      </c>
      <c r="C39" s="5" t="s">
        <v>2</v>
      </c>
      <c r="D39" s="5" t="s">
        <v>1</v>
      </c>
    </row>
    <row r="40" spans="1:25">
      <c r="A40" s="1">
        <v>1.24</v>
      </c>
      <c r="C40" s="4">
        <v>1.24</v>
      </c>
      <c r="D40" s="3">
        <v>0</v>
      </c>
    </row>
    <row r="41" spans="1:25">
      <c r="A41" s="1">
        <f t="shared" ref="A41:A55" si="3">A40+0.01</f>
        <v>1.25</v>
      </c>
      <c r="C41" s="4">
        <v>1.25</v>
      </c>
      <c r="D41" s="3">
        <v>3</v>
      </c>
    </row>
    <row r="42" spans="1:25">
      <c r="A42" s="1">
        <f t="shared" si="3"/>
        <v>1.26</v>
      </c>
      <c r="C42" s="4">
        <v>1.26</v>
      </c>
      <c r="D42" s="3">
        <v>5</v>
      </c>
    </row>
    <row r="43" spans="1:25">
      <c r="A43" s="1">
        <f t="shared" si="3"/>
        <v>1.27</v>
      </c>
      <c r="C43" s="4">
        <v>1.27</v>
      </c>
      <c r="D43" s="3">
        <v>11</v>
      </c>
    </row>
    <row r="44" spans="1:25">
      <c r="A44" s="1">
        <f t="shared" si="3"/>
        <v>1.28</v>
      </c>
      <c r="C44" s="4">
        <v>1.28</v>
      </c>
      <c r="D44" s="3">
        <v>17</v>
      </c>
    </row>
    <row r="45" spans="1:25">
      <c r="A45" s="1">
        <f t="shared" si="3"/>
        <v>1.29</v>
      </c>
      <c r="C45" s="4">
        <v>1.29</v>
      </c>
      <c r="D45" s="3">
        <v>9</v>
      </c>
    </row>
    <row r="46" spans="1:25">
      <c r="A46" s="1">
        <f t="shared" si="3"/>
        <v>1.3</v>
      </c>
      <c r="C46" s="4">
        <v>1.3</v>
      </c>
      <c r="D46" s="3">
        <v>11</v>
      </c>
    </row>
    <row r="47" spans="1:25">
      <c r="A47" s="1">
        <f t="shared" si="3"/>
        <v>1.31</v>
      </c>
      <c r="C47" s="4">
        <v>1.31</v>
      </c>
      <c r="D47" s="3">
        <v>2</v>
      </c>
    </row>
    <row r="48" spans="1:25">
      <c r="A48" s="1">
        <f t="shared" si="3"/>
        <v>1.32</v>
      </c>
      <c r="C48" s="4">
        <v>1.32</v>
      </c>
      <c r="D48" s="3">
        <v>0</v>
      </c>
    </row>
    <row r="49" spans="1:4">
      <c r="A49" s="1">
        <f t="shared" si="3"/>
        <v>1.33</v>
      </c>
      <c r="C49" s="4">
        <v>1.33</v>
      </c>
      <c r="D49" s="3">
        <v>0</v>
      </c>
    </row>
    <row r="50" spans="1:4">
      <c r="A50" s="1">
        <f t="shared" si="3"/>
        <v>1.34</v>
      </c>
      <c r="C50" s="4">
        <v>1.34</v>
      </c>
      <c r="D50" s="3">
        <v>0</v>
      </c>
    </row>
    <row r="51" spans="1:4">
      <c r="A51" s="1">
        <f t="shared" si="3"/>
        <v>1.35</v>
      </c>
      <c r="C51" s="4">
        <v>1.35</v>
      </c>
      <c r="D51" s="3">
        <v>0</v>
      </c>
    </row>
    <row r="52" spans="1:4">
      <c r="A52" s="1">
        <f t="shared" si="3"/>
        <v>1.36</v>
      </c>
      <c r="C52" s="4">
        <v>1.36</v>
      </c>
      <c r="D52" s="3">
        <v>0</v>
      </c>
    </row>
    <row r="53" spans="1:4">
      <c r="A53" s="1">
        <f t="shared" si="3"/>
        <v>1.37</v>
      </c>
      <c r="C53" s="4">
        <v>1.37</v>
      </c>
      <c r="D53" s="3">
        <v>0</v>
      </c>
    </row>
    <row r="54" spans="1:4">
      <c r="A54" s="1">
        <f t="shared" si="3"/>
        <v>1.3800000000000001</v>
      </c>
      <c r="C54" s="4">
        <v>1.3800000000000001</v>
      </c>
      <c r="D54" s="3">
        <v>0</v>
      </c>
    </row>
    <row r="55" spans="1:4">
      <c r="A55" s="1">
        <f t="shared" si="3"/>
        <v>1.3900000000000001</v>
      </c>
      <c r="C55" s="4">
        <v>1.3900000000000001</v>
      </c>
      <c r="D55" s="3">
        <v>0</v>
      </c>
    </row>
    <row r="56" spans="1:4" ht="15" thickBot="1">
      <c r="C56" s="2" t="s">
        <v>0</v>
      </c>
      <c r="D56" s="2">
        <v>0</v>
      </c>
    </row>
  </sheetData>
  <mergeCells count="4">
    <mergeCell ref="C9:D9"/>
    <mergeCell ref="E9:I9"/>
    <mergeCell ref="K9:L9"/>
    <mergeCell ref="M9:P9"/>
  </mergeCells>
  <phoneticPr fontId="16" type="noConversion"/>
  <pageMargins left="0.25" right="0.25" top="0.25" bottom="0.25" header="0.3" footer="0.3"/>
  <pageSetup orientation="landscape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6"/>
  <sheetViews>
    <sheetView topLeftCell="A6" zoomScale="70" zoomScaleNormal="70" zoomScalePageLayoutView="70" workbookViewId="0">
      <selection activeCell="AC32" sqref="AC32"/>
    </sheetView>
  </sheetViews>
  <sheetFormatPr baseColWidth="10" defaultColWidth="8.83203125" defaultRowHeight="14" x14ac:dyDescent="0"/>
  <cols>
    <col min="1" max="1" width="6.33203125" style="1" customWidth="1"/>
    <col min="2" max="2" width="16.1640625" style="1" customWidth="1"/>
    <col min="3" max="4" width="5.1640625" style="1" customWidth="1"/>
    <col min="5" max="9" width="6.83203125" style="1" customWidth="1"/>
    <col min="10" max="10" width="6.83203125" style="1" bestFit="1" customWidth="1"/>
    <col min="11" max="12" width="6.83203125" style="1" customWidth="1"/>
    <col min="13" max="16" width="3.6640625" style="1" customWidth="1"/>
    <col min="17" max="17" width="6.33203125" style="1" customWidth="1"/>
    <col min="18" max="18" width="7" style="1" customWidth="1"/>
    <col min="19" max="19" width="6.1640625" style="1" customWidth="1"/>
    <col min="20" max="20" width="9.83203125" style="1" customWidth="1"/>
    <col min="21" max="16384" width="8.83203125" style="1"/>
  </cols>
  <sheetData>
    <row r="1" spans="1:28">
      <c r="A1" s="1" t="s">
        <v>49</v>
      </c>
      <c r="B1" s="79"/>
    </row>
    <row r="2" spans="1:28">
      <c r="A2" s="1" t="s">
        <v>48</v>
      </c>
      <c r="B2" s="79"/>
    </row>
    <row r="3" spans="1:28">
      <c r="A3" s="1" t="s">
        <v>47</v>
      </c>
      <c r="B3" s="79"/>
    </row>
    <row r="4" spans="1:28">
      <c r="B4" s="79"/>
    </row>
    <row r="5" spans="1:28">
      <c r="B5" s="1" t="s">
        <v>46</v>
      </c>
      <c r="C5" s="1" t="s">
        <v>45</v>
      </c>
    </row>
    <row r="6" spans="1:28">
      <c r="A6" s="1" t="s">
        <v>98</v>
      </c>
      <c r="B6" s="79">
        <v>0.06</v>
      </c>
      <c r="C6" s="79">
        <f>B6*25.4</f>
        <v>1.5239999999999998</v>
      </c>
      <c r="D6" s="79"/>
      <c r="E6" s="80"/>
      <c r="F6" s="80"/>
      <c r="G6" s="80"/>
      <c r="H6" s="80"/>
      <c r="I6" s="80"/>
      <c r="J6" s="80"/>
      <c r="K6" s="79"/>
      <c r="L6" s="79"/>
      <c r="M6" s="79"/>
      <c r="N6" s="79"/>
      <c r="O6" s="79"/>
      <c r="P6" s="79"/>
      <c r="Q6" s="79"/>
      <c r="R6" s="78"/>
      <c r="S6" s="78"/>
      <c r="T6" s="78"/>
    </row>
    <row r="7" spans="1:28">
      <c r="B7" s="79"/>
      <c r="C7" s="79"/>
      <c r="D7" s="79"/>
      <c r="E7" s="80"/>
      <c r="F7" s="80"/>
      <c r="G7" s="80"/>
      <c r="H7" s="80"/>
      <c r="I7" s="80"/>
      <c r="J7" s="80"/>
      <c r="K7" s="79"/>
      <c r="L7" s="79"/>
      <c r="M7" s="79"/>
      <c r="N7" s="79"/>
      <c r="O7" s="79"/>
      <c r="P7" s="79"/>
      <c r="Q7" s="79"/>
      <c r="R7" s="78"/>
      <c r="S7" s="78"/>
      <c r="T7" s="78"/>
    </row>
    <row r="8" spans="1:28">
      <c r="A8" s="77" t="s">
        <v>43</v>
      </c>
      <c r="B8" s="79"/>
      <c r="C8" s="79"/>
      <c r="D8" s="79"/>
      <c r="E8" s="80"/>
      <c r="F8" s="80"/>
      <c r="G8" s="80"/>
      <c r="H8" s="80"/>
      <c r="I8" s="80"/>
      <c r="J8" s="80"/>
      <c r="K8" s="79"/>
      <c r="L8" s="79"/>
      <c r="M8" s="79"/>
      <c r="N8" s="79"/>
      <c r="O8" s="79"/>
      <c r="P8" s="79"/>
      <c r="Q8" s="79"/>
      <c r="R8" s="78"/>
      <c r="S8" s="78"/>
      <c r="T8" s="78"/>
      <c r="V8" s="221" t="s">
        <v>42</v>
      </c>
      <c r="Y8" s="221"/>
    </row>
    <row r="9" spans="1:28" ht="42">
      <c r="A9" s="71" t="s">
        <v>32</v>
      </c>
      <c r="B9" s="76" t="s">
        <v>41</v>
      </c>
      <c r="C9" s="386" t="s">
        <v>40</v>
      </c>
      <c r="D9" s="387"/>
      <c r="E9" s="385" t="s">
        <v>39</v>
      </c>
      <c r="F9" s="385"/>
      <c r="G9" s="385"/>
      <c r="H9" s="385"/>
      <c r="I9" s="385"/>
      <c r="J9" s="75"/>
      <c r="K9" s="386" t="s">
        <v>38</v>
      </c>
      <c r="L9" s="387"/>
      <c r="M9" s="386" t="s">
        <v>37</v>
      </c>
      <c r="N9" s="384"/>
      <c r="O9" s="384"/>
      <c r="P9" s="384"/>
      <c r="Q9" s="74" t="s">
        <v>36</v>
      </c>
      <c r="R9" s="204" t="s">
        <v>70</v>
      </c>
      <c r="S9" s="203" t="s">
        <v>69</v>
      </c>
      <c r="T9" s="19" t="s">
        <v>33</v>
      </c>
      <c r="V9" s="19" t="s">
        <v>32</v>
      </c>
      <c r="W9" s="253" t="s">
        <v>58</v>
      </c>
      <c r="X9" s="69" t="s">
        <v>31</v>
      </c>
      <c r="Y9" s="68" t="s">
        <v>30</v>
      </c>
      <c r="Z9" s="19" t="s">
        <v>29</v>
      </c>
      <c r="AA9" s="67" t="s">
        <v>51</v>
      </c>
      <c r="AB9" s="67" t="s">
        <v>97</v>
      </c>
    </row>
    <row r="10" spans="1:28" s="10" customFormat="1">
      <c r="A10" s="16"/>
      <c r="B10" s="217"/>
      <c r="C10" s="219">
        <v>1</v>
      </c>
      <c r="D10" s="217">
        <v>2</v>
      </c>
      <c r="E10" s="219">
        <v>1</v>
      </c>
      <c r="F10" s="218">
        <v>2</v>
      </c>
      <c r="G10" s="218">
        <v>3</v>
      </c>
      <c r="H10" s="218">
        <v>4</v>
      </c>
      <c r="I10" s="218">
        <v>5</v>
      </c>
      <c r="J10" s="217">
        <v>6</v>
      </c>
      <c r="K10" s="219">
        <v>1</v>
      </c>
      <c r="L10" s="217">
        <v>2</v>
      </c>
      <c r="M10" s="219">
        <v>1</v>
      </c>
      <c r="N10" s="218">
        <v>2</v>
      </c>
      <c r="O10" s="218">
        <v>3</v>
      </c>
      <c r="P10" s="218">
        <v>4</v>
      </c>
      <c r="Q10" s="217"/>
      <c r="R10" s="216"/>
      <c r="S10" s="215"/>
      <c r="T10" s="35"/>
      <c r="V10" s="35"/>
      <c r="W10" s="35"/>
      <c r="X10" s="59"/>
      <c r="Y10" s="59"/>
      <c r="Z10" s="59"/>
      <c r="AA10" s="59"/>
    </row>
    <row r="11" spans="1:28">
      <c r="A11" s="12"/>
      <c r="B11" s="187"/>
      <c r="C11" s="177"/>
      <c r="D11" s="187"/>
      <c r="E11" s="122"/>
      <c r="F11" s="47"/>
      <c r="G11" s="47"/>
      <c r="H11" s="47"/>
      <c r="I11" s="47"/>
      <c r="J11" s="121"/>
      <c r="K11" s="177"/>
      <c r="L11" s="187"/>
      <c r="M11" s="177"/>
      <c r="N11" s="55"/>
      <c r="O11" s="55"/>
      <c r="P11" s="55"/>
      <c r="Q11" s="187"/>
      <c r="R11" s="37"/>
      <c r="S11" s="53"/>
      <c r="T11" s="35"/>
      <c r="V11" s="35"/>
      <c r="W11" s="35"/>
      <c r="X11" s="52"/>
      <c r="Y11" s="35"/>
      <c r="Z11" s="35"/>
      <c r="AA11" s="35"/>
    </row>
    <row r="12" spans="1:28">
      <c r="A12" s="12">
        <v>1</v>
      </c>
      <c r="B12" s="187"/>
      <c r="C12" s="213">
        <v>204</v>
      </c>
      <c r="D12" s="182">
        <v>204</v>
      </c>
      <c r="E12" s="118">
        <v>1.53</v>
      </c>
      <c r="F12" s="42">
        <v>1.53</v>
      </c>
      <c r="G12" s="42">
        <v>1.53</v>
      </c>
      <c r="H12" s="42">
        <v>1.53</v>
      </c>
      <c r="I12" s="42">
        <v>1.54</v>
      </c>
      <c r="J12" s="212">
        <v>1.54</v>
      </c>
      <c r="K12" s="166">
        <v>26.14</v>
      </c>
      <c r="L12" s="165">
        <v>26.15</v>
      </c>
      <c r="M12" s="276"/>
      <c r="N12" s="275"/>
      <c r="O12" s="275"/>
      <c r="P12" s="271"/>
      <c r="Q12" s="274" t="s">
        <v>19</v>
      </c>
      <c r="R12" s="37">
        <v>108.2</v>
      </c>
      <c r="S12" s="36">
        <f t="shared" ref="S12:S27" si="0">R12/(AVERAGE(C12:D12)*AVERAGE(E12:J12)*AVERAGE(K12:L12)*0.001)</f>
        <v>13.230366356425582</v>
      </c>
      <c r="T12" s="35">
        <v>3</v>
      </c>
      <c r="V12" s="35">
        <v>1</v>
      </c>
      <c r="W12" s="160">
        <f t="shared" ref="W12:W27" si="1">MAX(E12:J12)-MIN(E12:J12)</f>
        <v>1.0000000000000009E-2</v>
      </c>
      <c r="X12" s="35">
        <f t="shared" ref="X12:X27" si="2">IF(OR(ABS(E12-$C$6)&gt;($C$6*0.1),ABS(F12-$C$6)&gt;($C$6*0.1),ABS(G12-$C$6)&gt;($C$6*0.1),ABS(H12-$C$6)&gt;($C$6*0.1),ABS(I12-$C$6)&gt;($C$6*0.1),ABS(J12-$C$6)&gt;($C$6*0.1)),1,0)</f>
        <v>0</v>
      </c>
      <c r="Y12" s="35">
        <v>0</v>
      </c>
      <c r="Z12" s="34">
        <v>0</v>
      </c>
      <c r="AA12" s="35">
        <f t="shared" ref="AA12:AA27" si="3">IF(OR(M12="Y",N12="Y",O12="Y",P12="Y"),1,0)</f>
        <v>0</v>
      </c>
    </row>
    <row r="13" spans="1:28">
      <c r="A13" s="12">
        <f t="shared" ref="A13:A27" si="4">A12+1</f>
        <v>2</v>
      </c>
      <c r="B13" s="187"/>
      <c r="C13" s="213">
        <v>204</v>
      </c>
      <c r="D13" s="182">
        <v>204</v>
      </c>
      <c r="E13" s="122">
        <v>1.55</v>
      </c>
      <c r="F13" s="47">
        <v>1.55</v>
      </c>
      <c r="G13" s="47">
        <v>1.56</v>
      </c>
      <c r="H13" s="47">
        <v>1.56</v>
      </c>
      <c r="I13" s="47">
        <v>1.57</v>
      </c>
      <c r="J13" s="121">
        <v>1.56</v>
      </c>
      <c r="K13" s="166">
        <v>26.34</v>
      </c>
      <c r="L13" s="165">
        <v>26.21</v>
      </c>
      <c r="M13" s="276"/>
      <c r="N13" s="275"/>
      <c r="O13" s="275" t="s">
        <v>20</v>
      </c>
      <c r="P13" s="271"/>
      <c r="Q13" s="274" t="s">
        <v>19</v>
      </c>
      <c r="R13" s="37">
        <v>110.5</v>
      </c>
      <c r="S13" s="36">
        <f t="shared" si="0"/>
        <v>13.229061194584226</v>
      </c>
      <c r="T13" s="35">
        <v>3</v>
      </c>
      <c r="V13" s="35">
        <f t="shared" ref="V13:V27" si="5">V12+1</f>
        <v>2</v>
      </c>
      <c r="W13" s="160">
        <f t="shared" si="1"/>
        <v>2.0000000000000018E-2</v>
      </c>
      <c r="X13" s="35">
        <f t="shared" si="2"/>
        <v>0</v>
      </c>
      <c r="Y13" s="35">
        <v>0</v>
      </c>
      <c r="Z13" s="34">
        <v>0</v>
      </c>
      <c r="AA13" s="35">
        <f t="shared" si="3"/>
        <v>0</v>
      </c>
    </row>
    <row r="14" spans="1:28">
      <c r="A14" s="12">
        <f t="shared" si="4"/>
        <v>3</v>
      </c>
      <c r="B14" s="187"/>
      <c r="C14" s="213">
        <v>204</v>
      </c>
      <c r="D14" s="182">
        <v>204</v>
      </c>
      <c r="E14" s="122">
        <v>1.57</v>
      </c>
      <c r="F14" s="47">
        <v>1.56</v>
      </c>
      <c r="G14" s="47">
        <v>1.55</v>
      </c>
      <c r="H14" s="47">
        <v>1.56</v>
      </c>
      <c r="I14" s="47">
        <v>1.55</v>
      </c>
      <c r="J14" s="121">
        <v>1.56</v>
      </c>
      <c r="K14" s="166">
        <v>26.42</v>
      </c>
      <c r="L14" s="165">
        <v>26.15</v>
      </c>
      <c r="M14" s="276"/>
      <c r="N14" s="275"/>
      <c r="O14" s="275"/>
      <c r="P14" s="271"/>
      <c r="Q14" s="270"/>
      <c r="R14" s="37">
        <v>110.6</v>
      </c>
      <c r="S14" s="36">
        <f t="shared" si="0"/>
        <v>13.235995709191771</v>
      </c>
      <c r="T14" s="35">
        <v>3</v>
      </c>
      <c r="V14" s="35">
        <f t="shared" si="5"/>
        <v>3</v>
      </c>
      <c r="W14" s="160">
        <f t="shared" si="1"/>
        <v>2.0000000000000018E-2</v>
      </c>
      <c r="X14" s="35">
        <f t="shared" si="2"/>
        <v>0</v>
      </c>
      <c r="Y14" s="35">
        <v>0</v>
      </c>
      <c r="Z14" s="34">
        <v>0</v>
      </c>
      <c r="AA14" s="35">
        <f t="shared" si="3"/>
        <v>0</v>
      </c>
    </row>
    <row r="15" spans="1:28">
      <c r="A15" s="44">
        <f t="shared" si="4"/>
        <v>4</v>
      </c>
      <c r="B15" s="187"/>
      <c r="C15" s="213">
        <v>204</v>
      </c>
      <c r="D15" s="182">
        <v>204</v>
      </c>
      <c r="E15" s="122">
        <v>1.54</v>
      </c>
      <c r="F15" s="47">
        <v>1.52</v>
      </c>
      <c r="G15" s="47">
        <v>1.56</v>
      </c>
      <c r="H15" s="47">
        <v>1.54</v>
      </c>
      <c r="I15" s="47">
        <v>1.57</v>
      </c>
      <c r="J15" s="121">
        <v>1.55</v>
      </c>
      <c r="K15" s="166">
        <v>26.07</v>
      </c>
      <c r="L15" s="165">
        <v>26.44</v>
      </c>
      <c r="M15" s="276" t="s">
        <v>20</v>
      </c>
      <c r="N15" s="275"/>
      <c r="O15" s="275"/>
      <c r="P15" s="271"/>
      <c r="Q15" s="274" t="s">
        <v>21</v>
      </c>
      <c r="R15" s="37">
        <v>110.3</v>
      </c>
      <c r="S15" s="36">
        <f t="shared" si="0"/>
        <v>13.31485976012296</v>
      </c>
      <c r="T15" s="35">
        <v>3</v>
      </c>
      <c r="V15" s="172">
        <f t="shared" si="5"/>
        <v>4</v>
      </c>
      <c r="W15" s="160">
        <f t="shared" si="1"/>
        <v>5.0000000000000044E-2</v>
      </c>
      <c r="X15" s="35">
        <f t="shared" si="2"/>
        <v>0</v>
      </c>
      <c r="Y15" s="35">
        <v>0</v>
      </c>
      <c r="Z15" s="34">
        <v>0</v>
      </c>
      <c r="AA15" s="35">
        <f t="shared" si="3"/>
        <v>0</v>
      </c>
    </row>
    <row r="16" spans="1:28">
      <c r="A16" s="12">
        <f t="shared" si="4"/>
        <v>5</v>
      </c>
      <c r="B16" s="187"/>
      <c r="C16" s="213">
        <v>204</v>
      </c>
      <c r="D16" s="182">
        <v>204</v>
      </c>
      <c r="E16" s="122">
        <v>1.54</v>
      </c>
      <c r="F16" s="47">
        <v>1.53</v>
      </c>
      <c r="G16" s="47">
        <v>1.54</v>
      </c>
      <c r="H16" s="47">
        <v>1.54</v>
      </c>
      <c r="I16" s="47">
        <v>1.54</v>
      </c>
      <c r="J16" s="121">
        <v>1.54</v>
      </c>
      <c r="K16" s="166">
        <v>26.41</v>
      </c>
      <c r="L16" s="165">
        <v>26.2</v>
      </c>
      <c r="M16" s="276"/>
      <c r="N16" s="275"/>
      <c r="O16" s="275"/>
      <c r="P16" s="271"/>
      <c r="Q16" s="274" t="s">
        <v>21</v>
      </c>
      <c r="R16" s="37">
        <v>109.6</v>
      </c>
      <c r="S16" s="36">
        <f t="shared" si="0"/>
        <v>13.276745485915621</v>
      </c>
      <c r="T16" s="35">
        <v>3</v>
      </c>
      <c r="V16" s="35">
        <f t="shared" si="5"/>
        <v>5</v>
      </c>
      <c r="W16" s="160">
        <f t="shared" si="1"/>
        <v>1.0000000000000009E-2</v>
      </c>
      <c r="X16" s="35">
        <f t="shared" si="2"/>
        <v>0</v>
      </c>
      <c r="Y16" s="35">
        <v>0</v>
      </c>
      <c r="Z16" s="34">
        <v>0</v>
      </c>
      <c r="AA16" s="35">
        <f t="shared" si="3"/>
        <v>0</v>
      </c>
    </row>
    <row r="17" spans="1:28">
      <c r="A17" s="12">
        <f t="shared" si="4"/>
        <v>6</v>
      </c>
      <c r="B17" s="187"/>
      <c r="C17" s="213">
        <v>204</v>
      </c>
      <c r="D17" s="182">
        <v>204</v>
      </c>
      <c r="E17" s="122">
        <v>1.51</v>
      </c>
      <c r="F17" s="47">
        <v>1.52</v>
      </c>
      <c r="G17" s="47">
        <v>1.52</v>
      </c>
      <c r="H17" s="47">
        <v>1.52</v>
      </c>
      <c r="I17" s="47">
        <v>1.51</v>
      </c>
      <c r="J17" s="121">
        <v>1.51</v>
      </c>
      <c r="K17" s="166">
        <v>26.34</v>
      </c>
      <c r="L17" s="165">
        <v>26.17</v>
      </c>
      <c r="M17" s="276"/>
      <c r="N17" s="275"/>
      <c r="O17" s="275"/>
      <c r="P17" s="271"/>
      <c r="Q17" s="274" t="s">
        <v>21</v>
      </c>
      <c r="R17" s="37">
        <v>108</v>
      </c>
      <c r="S17" s="36">
        <f t="shared" si="0"/>
        <v>13.309720410467339</v>
      </c>
      <c r="T17" s="35">
        <v>3</v>
      </c>
      <c r="V17" s="35">
        <f t="shared" si="5"/>
        <v>6</v>
      </c>
      <c r="W17" s="160">
        <f t="shared" si="1"/>
        <v>1.0000000000000009E-2</v>
      </c>
      <c r="X17" s="35">
        <f t="shared" si="2"/>
        <v>0</v>
      </c>
      <c r="Y17" s="35">
        <v>0</v>
      </c>
      <c r="Z17" s="34">
        <v>0</v>
      </c>
      <c r="AA17" s="35">
        <f t="shared" si="3"/>
        <v>0</v>
      </c>
    </row>
    <row r="18" spans="1:28">
      <c r="A18" s="12">
        <f t="shared" si="4"/>
        <v>7</v>
      </c>
      <c r="B18" s="187"/>
      <c r="C18" s="213">
        <v>204</v>
      </c>
      <c r="D18" s="182">
        <v>204</v>
      </c>
      <c r="E18" s="122">
        <v>1.55</v>
      </c>
      <c r="F18" s="47">
        <v>1.55</v>
      </c>
      <c r="G18" s="47">
        <v>1.55</v>
      </c>
      <c r="H18" s="47">
        <v>1.55</v>
      </c>
      <c r="I18" s="47">
        <v>1.56</v>
      </c>
      <c r="J18" s="121">
        <v>1.56</v>
      </c>
      <c r="K18" s="166">
        <v>26.18</v>
      </c>
      <c r="L18" s="165">
        <v>26.19</v>
      </c>
      <c r="M18" s="276"/>
      <c r="N18" s="275"/>
      <c r="O18" s="275"/>
      <c r="P18" s="271"/>
      <c r="Q18" s="274" t="s">
        <v>21</v>
      </c>
      <c r="R18" s="37">
        <v>109.9</v>
      </c>
      <c r="S18" s="36">
        <f t="shared" si="0"/>
        <v>13.244948829664748</v>
      </c>
      <c r="T18" s="35">
        <v>3</v>
      </c>
      <c r="V18" s="35">
        <f t="shared" si="5"/>
        <v>7</v>
      </c>
      <c r="W18" s="160">
        <f t="shared" si="1"/>
        <v>1.0000000000000009E-2</v>
      </c>
      <c r="X18" s="35">
        <f t="shared" si="2"/>
        <v>0</v>
      </c>
      <c r="Y18" s="35">
        <v>0</v>
      </c>
      <c r="Z18" s="34">
        <v>0</v>
      </c>
      <c r="AA18" s="35">
        <f t="shared" si="3"/>
        <v>0</v>
      </c>
    </row>
    <row r="19" spans="1:28">
      <c r="A19" s="12">
        <f t="shared" si="4"/>
        <v>8</v>
      </c>
      <c r="B19" s="187"/>
      <c r="C19" s="213">
        <v>204</v>
      </c>
      <c r="D19" s="182">
        <v>204</v>
      </c>
      <c r="E19" s="122">
        <v>1.52</v>
      </c>
      <c r="F19" s="47">
        <v>1.53</v>
      </c>
      <c r="G19" s="47">
        <v>1.53</v>
      </c>
      <c r="H19" s="47">
        <v>1.54</v>
      </c>
      <c r="I19" s="47">
        <v>1.55</v>
      </c>
      <c r="J19" s="121">
        <v>1.55</v>
      </c>
      <c r="K19" s="166">
        <v>26.35</v>
      </c>
      <c r="L19" s="165">
        <v>26.12</v>
      </c>
      <c r="M19" s="276"/>
      <c r="N19" s="275"/>
      <c r="O19" s="275"/>
      <c r="P19" s="271"/>
      <c r="Q19" s="274" t="s">
        <v>21</v>
      </c>
      <c r="R19" s="37">
        <v>109.1</v>
      </c>
      <c r="S19" s="36">
        <f t="shared" si="0"/>
        <v>13.265812173268577</v>
      </c>
      <c r="T19" s="35">
        <v>3</v>
      </c>
      <c r="V19" s="35">
        <f t="shared" si="5"/>
        <v>8</v>
      </c>
      <c r="W19" s="160">
        <f t="shared" si="1"/>
        <v>3.0000000000000027E-2</v>
      </c>
      <c r="X19" s="35">
        <f t="shared" si="2"/>
        <v>0</v>
      </c>
      <c r="Y19" s="35">
        <v>0</v>
      </c>
      <c r="Z19" s="34">
        <v>0</v>
      </c>
      <c r="AA19" s="35">
        <f t="shared" si="3"/>
        <v>0</v>
      </c>
    </row>
    <row r="20" spans="1:28">
      <c r="A20" s="12">
        <f t="shared" si="4"/>
        <v>9</v>
      </c>
      <c r="B20" s="187"/>
      <c r="C20" s="213">
        <v>204</v>
      </c>
      <c r="D20" s="182">
        <v>204</v>
      </c>
      <c r="E20" s="118">
        <v>1.54</v>
      </c>
      <c r="F20" s="42">
        <v>1.55</v>
      </c>
      <c r="G20" s="42">
        <v>1.55</v>
      </c>
      <c r="H20" s="42">
        <v>1.56</v>
      </c>
      <c r="I20" s="42">
        <v>1.55</v>
      </c>
      <c r="J20" s="212">
        <v>1.55</v>
      </c>
      <c r="K20" s="166">
        <v>26.06</v>
      </c>
      <c r="L20" s="165">
        <v>26.21</v>
      </c>
      <c r="M20" s="276"/>
      <c r="N20" s="275"/>
      <c r="O20" s="275"/>
      <c r="P20" s="271"/>
      <c r="Q20" s="270"/>
      <c r="R20" s="37">
        <v>110.3</v>
      </c>
      <c r="S20" s="36">
        <f t="shared" si="0"/>
        <v>13.347229941551719</v>
      </c>
      <c r="T20" s="35">
        <v>3</v>
      </c>
      <c r="V20" s="35">
        <f t="shared" si="5"/>
        <v>9</v>
      </c>
      <c r="W20" s="160">
        <f t="shared" si="1"/>
        <v>2.0000000000000018E-2</v>
      </c>
      <c r="X20" s="35">
        <f t="shared" si="2"/>
        <v>0</v>
      </c>
      <c r="Y20" s="35">
        <v>0</v>
      </c>
      <c r="Z20" s="34">
        <v>0</v>
      </c>
      <c r="AA20" s="35">
        <f t="shared" si="3"/>
        <v>0</v>
      </c>
    </row>
    <row r="21" spans="1:28">
      <c r="A21" s="12">
        <f t="shared" si="4"/>
        <v>10</v>
      </c>
      <c r="B21" s="187"/>
      <c r="C21" s="213">
        <v>204</v>
      </c>
      <c r="D21" s="182">
        <v>204</v>
      </c>
      <c r="E21" s="122">
        <v>1.54</v>
      </c>
      <c r="F21" s="47">
        <v>1.55</v>
      </c>
      <c r="G21" s="47">
        <v>1.54</v>
      </c>
      <c r="H21" s="47">
        <v>1.54</v>
      </c>
      <c r="I21" s="47">
        <v>1.54</v>
      </c>
      <c r="J21" s="121">
        <v>1.54</v>
      </c>
      <c r="K21" s="166">
        <v>26.15</v>
      </c>
      <c r="L21" s="165">
        <v>26.58</v>
      </c>
      <c r="M21" s="276"/>
      <c r="N21" s="275"/>
      <c r="O21" s="275"/>
      <c r="P21" s="271"/>
      <c r="Q21" s="274" t="s">
        <v>21</v>
      </c>
      <c r="R21" s="37">
        <v>109.8</v>
      </c>
      <c r="S21" s="36">
        <f t="shared" si="0"/>
        <v>13.24201009612819</v>
      </c>
      <c r="T21" s="35">
        <v>3</v>
      </c>
      <c r="V21" s="35">
        <f t="shared" si="5"/>
        <v>10</v>
      </c>
      <c r="W21" s="160">
        <f t="shared" si="1"/>
        <v>1.0000000000000009E-2</v>
      </c>
      <c r="X21" s="35">
        <f t="shared" si="2"/>
        <v>0</v>
      </c>
      <c r="Y21" s="35">
        <v>0</v>
      </c>
      <c r="Z21" s="34">
        <v>0</v>
      </c>
      <c r="AA21" s="35">
        <f t="shared" si="3"/>
        <v>0</v>
      </c>
    </row>
    <row r="22" spans="1:28">
      <c r="A22" s="12">
        <f t="shared" si="4"/>
        <v>11</v>
      </c>
      <c r="B22" s="187"/>
      <c r="C22" s="213">
        <v>204</v>
      </c>
      <c r="D22" s="182">
        <v>204</v>
      </c>
      <c r="E22" s="122">
        <v>1.53</v>
      </c>
      <c r="F22" s="47">
        <v>1.53</v>
      </c>
      <c r="G22" s="47">
        <v>1.55</v>
      </c>
      <c r="H22" s="47">
        <v>1.55</v>
      </c>
      <c r="I22" s="47">
        <v>1.55</v>
      </c>
      <c r="J22" s="121">
        <v>1.54</v>
      </c>
      <c r="K22" s="166">
        <v>26.07</v>
      </c>
      <c r="L22" s="165">
        <v>26.37</v>
      </c>
      <c r="M22" s="276"/>
      <c r="N22" s="275"/>
      <c r="O22" s="275"/>
      <c r="P22" s="271"/>
      <c r="Q22" s="270"/>
      <c r="R22" s="37">
        <v>110.1</v>
      </c>
      <c r="S22" s="36">
        <f t="shared" si="0"/>
        <v>13.351620566588933</v>
      </c>
      <c r="T22" s="35">
        <v>3</v>
      </c>
      <c r="V22" s="35">
        <f t="shared" si="5"/>
        <v>11</v>
      </c>
      <c r="W22" s="160">
        <f t="shared" si="1"/>
        <v>2.0000000000000018E-2</v>
      </c>
      <c r="X22" s="35">
        <f t="shared" si="2"/>
        <v>0</v>
      </c>
      <c r="Y22" s="35">
        <v>0</v>
      </c>
      <c r="Z22" s="34">
        <v>0</v>
      </c>
      <c r="AA22" s="35">
        <f t="shared" si="3"/>
        <v>0</v>
      </c>
    </row>
    <row r="23" spans="1:28" ht="28">
      <c r="A23" s="258">
        <f t="shared" si="4"/>
        <v>12</v>
      </c>
      <c r="B23" s="187"/>
      <c r="C23" s="213">
        <v>204</v>
      </c>
      <c r="D23" s="182">
        <v>204</v>
      </c>
      <c r="E23" s="122">
        <v>1.57</v>
      </c>
      <c r="F23" s="47">
        <v>1.56</v>
      </c>
      <c r="G23" s="47">
        <v>1.57</v>
      </c>
      <c r="H23" s="47">
        <v>1.56</v>
      </c>
      <c r="I23" s="47">
        <v>1.55</v>
      </c>
      <c r="J23" s="121">
        <v>1.54</v>
      </c>
      <c r="K23" s="166">
        <v>26.21</v>
      </c>
      <c r="L23" s="165">
        <v>26.36</v>
      </c>
      <c r="M23" s="276"/>
      <c r="N23" s="275"/>
      <c r="O23" s="275"/>
      <c r="P23" s="271"/>
      <c r="Q23" s="274" t="s">
        <v>50</v>
      </c>
      <c r="R23" s="37">
        <v>110.3</v>
      </c>
      <c r="S23" s="36">
        <f t="shared" si="0"/>
        <v>13.200093370016749</v>
      </c>
      <c r="T23" s="35">
        <v>3</v>
      </c>
      <c r="V23" s="257">
        <f t="shared" si="5"/>
        <v>12</v>
      </c>
      <c r="W23" s="160">
        <f t="shared" si="1"/>
        <v>3.0000000000000027E-2</v>
      </c>
      <c r="X23" s="35">
        <f t="shared" si="2"/>
        <v>0</v>
      </c>
      <c r="Y23" s="35">
        <v>0</v>
      </c>
      <c r="Z23" s="34">
        <v>0</v>
      </c>
      <c r="AA23" s="35">
        <f t="shared" si="3"/>
        <v>0</v>
      </c>
      <c r="AB23" t="s">
        <v>96</v>
      </c>
    </row>
    <row r="24" spans="1:28">
      <c r="A24" s="12">
        <f t="shared" si="4"/>
        <v>13</v>
      </c>
      <c r="B24" s="187"/>
      <c r="C24" s="213">
        <v>204</v>
      </c>
      <c r="D24" s="182">
        <v>204</v>
      </c>
      <c r="E24" s="122">
        <v>1.54</v>
      </c>
      <c r="F24" s="47">
        <v>1.56</v>
      </c>
      <c r="G24" s="47">
        <v>1.54</v>
      </c>
      <c r="H24" s="47">
        <v>1.56</v>
      </c>
      <c r="I24" s="47">
        <v>1.53</v>
      </c>
      <c r="J24" s="121">
        <v>1.54</v>
      </c>
      <c r="K24" s="166">
        <v>26.16</v>
      </c>
      <c r="L24" s="165">
        <v>26.26</v>
      </c>
      <c r="M24" s="276"/>
      <c r="N24" s="275"/>
      <c r="O24" s="275"/>
      <c r="P24" s="271"/>
      <c r="Q24" s="274" t="s">
        <v>21</v>
      </c>
      <c r="R24" s="37">
        <v>108.8</v>
      </c>
      <c r="S24" s="36">
        <f t="shared" si="0"/>
        <v>13.170529130123594</v>
      </c>
      <c r="T24" s="35">
        <v>3</v>
      </c>
      <c r="V24" s="35">
        <f t="shared" si="5"/>
        <v>13</v>
      </c>
      <c r="W24" s="160">
        <f t="shared" si="1"/>
        <v>3.0000000000000027E-2</v>
      </c>
      <c r="X24" s="35">
        <f t="shared" si="2"/>
        <v>0</v>
      </c>
      <c r="Y24" s="35">
        <v>0</v>
      </c>
      <c r="Z24" s="34">
        <v>0</v>
      </c>
      <c r="AA24" s="35">
        <f t="shared" si="3"/>
        <v>0</v>
      </c>
    </row>
    <row r="25" spans="1:28">
      <c r="A25" s="12">
        <f t="shared" si="4"/>
        <v>14</v>
      </c>
      <c r="B25" s="187"/>
      <c r="C25" s="213">
        <v>204</v>
      </c>
      <c r="D25" s="182">
        <v>204</v>
      </c>
      <c r="E25" s="122">
        <v>1.53</v>
      </c>
      <c r="F25" s="47">
        <v>1.54</v>
      </c>
      <c r="G25" s="47">
        <v>1.53</v>
      </c>
      <c r="H25" s="47">
        <v>1.54</v>
      </c>
      <c r="I25" s="47">
        <v>1.55</v>
      </c>
      <c r="J25" s="121">
        <v>1.55</v>
      </c>
      <c r="K25" s="166">
        <v>26.02</v>
      </c>
      <c r="L25" s="165">
        <v>26.17</v>
      </c>
      <c r="M25" s="276"/>
      <c r="N25" s="275"/>
      <c r="O25" s="275"/>
      <c r="P25" s="271"/>
      <c r="Q25" s="270"/>
      <c r="R25" s="37">
        <v>108.8</v>
      </c>
      <c r="S25" s="36">
        <f t="shared" si="0"/>
        <v>13.271521223236112</v>
      </c>
      <c r="T25" s="35">
        <v>3</v>
      </c>
      <c r="V25" s="35">
        <f t="shared" si="5"/>
        <v>14</v>
      </c>
      <c r="W25" s="160">
        <f t="shared" si="1"/>
        <v>2.0000000000000018E-2</v>
      </c>
      <c r="X25" s="35">
        <f t="shared" si="2"/>
        <v>0</v>
      </c>
      <c r="Y25" s="35">
        <v>0</v>
      </c>
      <c r="Z25" s="34">
        <v>0</v>
      </c>
      <c r="AA25" s="35">
        <f t="shared" si="3"/>
        <v>0</v>
      </c>
    </row>
    <row r="26" spans="1:28">
      <c r="A26" s="12">
        <f t="shared" si="4"/>
        <v>15</v>
      </c>
      <c r="B26" s="187"/>
      <c r="C26" s="213">
        <v>204</v>
      </c>
      <c r="D26" s="182">
        <v>204</v>
      </c>
      <c r="E26" s="122">
        <v>1.51</v>
      </c>
      <c r="F26" s="47">
        <v>1.49</v>
      </c>
      <c r="G26" s="47">
        <v>1.53</v>
      </c>
      <c r="H26" s="47">
        <v>1.5</v>
      </c>
      <c r="I26" s="47">
        <v>1.53</v>
      </c>
      <c r="J26" s="121">
        <v>1.51</v>
      </c>
      <c r="K26" s="166">
        <v>26.1</v>
      </c>
      <c r="L26" s="165">
        <v>26.3</v>
      </c>
      <c r="M26" s="276"/>
      <c r="N26" s="275"/>
      <c r="O26" s="275"/>
      <c r="P26" s="271"/>
      <c r="Q26" s="274" t="s">
        <v>21</v>
      </c>
      <c r="R26" s="37">
        <v>106.1</v>
      </c>
      <c r="S26" s="36">
        <f t="shared" si="0"/>
        <v>13.131909723752146</v>
      </c>
      <c r="T26" s="35">
        <v>3</v>
      </c>
      <c r="V26" s="35">
        <f t="shared" si="5"/>
        <v>15</v>
      </c>
      <c r="W26" s="160">
        <f t="shared" si="1"/>
        <v>4.0000000000000036E-2</v>
      </c>
      <c r="X26" s="35">
        <f t="shared" si="2"/>
        <v>0</v>
      </c>
      <c r="Y26" s="35">
        <v>0</v>
      </c>
      <c r="Z26" s="34">
        <v>0</v>
      </c>
      <c r="AA26" s="35">
        <f t="shared" si="3"/>
        <v>0</v>
      </c>
    </row>
    <row r="27" spans="1:28">
      <c r="A27" s="71">
        <f t="shared" si="4"/>
        <v>16</v>
      </c>
      <c r="B27" s="261"/>
      <c r="C27" s="210">
        <v>204</v>
      </c>
      <c r="D27" s="209">
        <v>204</v>
      </c>
      <c r="E27" s="285">
        <v>1.53</v>
      </c>
      <c r="F27" s="75">
        <v>1.54</v>
      </c>
      <c r="G27" s="75">
        <v>1.54</v>
      </c>
      <c r="H27" s="75">
        <v>1.54</v>
      </c>
      <c r="I27" s="75">
        <v>1.56</v>
      </c>
      <c r="J27" s="195">
        <v>1.56</v>
      </c>
      <c r="K27" s="157">
        <v>26.1</v>
      </c>
      <c r="L27" s="156">
        <v>26.13</v>
      </c>
      <c r="M27" s="284"/>
      <c r="N27" s="283"/>
      <c r="O27" s="283"/>
      <c r="P27" s="267"/>
      <c r="Q27" s="282" t="s">
        <v>21</v>
      </c>
      <c r="R27" s="21">
        <v>109</v>
      </c>
      <c r="S27" s="20">
        <f t="shared" si="0"/>
        <v>13.242738906026084</v>
      </c>
      <c r="T27" s="19">
        <v>3</v>
      </c>
      <c r="V27" s="19">
        <f t="shared" si="5"/>
        <v>16</v>
      </c>
      <c r="W27" s="160">
        <f t="shared" si="1"/>
        <v>3.0000000000000027E-2</v>
      </c>
      <c r="X27" s="19">
        <f t="shared" si="2"/>
        <v>0</v>
      </c>
      <c r="Y27" s="19">
        <v>0</v>
      </c>
      <c r="Z27" s="18">
        <v>0</v>
      </c>
      <c r="AA27" s="19">
        <f t="shared" si="3"/>
        <v>0</v>
      </c>
    </row>
    <row r="28" spans="1:28" s="16" customFormat="1">
      <c r="E28" s="281"/>
      <c r="F28" s="281"/>
      <c r="G28" s="281"/>
      <c r="H28" s="281"/>
      <c r="I28" s="281"/>
      <c r="J28" s="281"/>
      <c r="R28" s="280"/>
      <c r="S28" s="280"/>
      <c r="T28" s="280"/>
      <c r="Y28" s="16">
        <f>SUM(Y12:Y27)</f>
        <v>0</v>
      </c>
      <c r="Z28" s="16">
        <f>SUM(Z12:Z27)</f>
        <v>0</v>
      </c>
      <c r="AA28" s="16">
        <f>SUM(AA12:AA27)</f>
        <v>0</v>
      </c>
    </row>
    <row r="29" spans="1:28">
      <c r="A29" s="12"/>
      <c r="E29" s="7"/>
      <c r="F29" s="7"/>
      <c r="G29" s="7"/>
      <c r="H29" s="7"/>
      <c r="I29" s="7"/>
      <c r="J29" s="7"/>
      <c r="R29" s="9"/>
      <c r="S29" s="9"/>
      <c r="T29" s="9"/>
    </row>
    <row r="30" spans="1:28">
      <c r="A30" s="12" t="s">
        <v>17</v>
      </c>
      <c r="C30" s="1" t="s">
        <v>16</v>
      </c>
      <c r="E30" s="1" t="s">
        <v>15</v>
      </c>
      <c r="K30" s="1" t="s">
        <v>14</v>
      </c>
      <c r="R30" s="1" t="s">
        <v>13</v>
      </c>
      <c r="S30" s="1" t="s">
        <v>12</v>
      </c>
    </row>
    <row r="31" spans="1:28">
      <c r="A31" s="12"/>
    </row>
    <row r="32" spans="1:28">
      <c r="A32" s="1" t="s">
        <v>11</v>
      </c>
      <c r="C32" s="1">
        <f>8*25.4</f>
        <v>203.2</v>
      </c>
      <c r="E32" s="1">
        <f>C6</f>
        <v>1.5239999999999998</v>
      </c>
      <c r="K32" s="11">
        <v>25.4</v>
      </c>
    </row>
    <row r="33" spans="1:20">
      <c r="A33" s="1" t="s">
        <v>10</v>
      </c>
      <c r="C33" s="1">
        <f>MODE(C12:D27)</f>
        <v>204</v>
      </c>
      <c r="E33" s="1">
        <f>MODE(E12:J27)</f>
        <v>1.54</v>
      </c>
      <c r="K33" s="1">
        <f>MODE(K12:L27)</f>
        <v>26.15</v>
      </c>
      <c r="R33" s="1">
        <f>MODE(R12:R27)</f>
        <v>110.3</v>
      </c>
      <c r="S33" s="1" t="e">
        <f>MODE(S12:S27)</f>
        <v>#N/A</v>
      </c>
    </row>
    <row r="34" spans="1:20">
      <c r="A34" s="1" t="s">
        <v>9</v>
      </c>
      <c r="C34" s="10">
        <f>AVERAGE(C12:D27)</f>
        <v>204</v>
      </c>
      <c r="D34" s="10"/>
      <c r="E34" s="7">
        <f>AVERAGE(E12:J27)</f>
        <v>1.5420833333333335</v>
      </c>
      <c r="K34" s="6">
        <f>AVERAGE(K12:L27)</f>
        <v>26.2228125</v>
      </c>
      <c r="R34" s="9">
        <f>AVERAGE(R12:R27)</f>
        <v>109.33749999999998</v>
      </c>
      <c r="S34" s="9">
        <f>AVERAGE(S12:S27)</f>
        <v>13.254072679816522</v>
      </c>
      <c r="T34" s="9"/>
    </row>
    <row r="35" spans="1:20">
      <c r="A35" s="1" t="s">
        <v>8</v>
      </c>
      <c r="C35" s="1">
        <f>STDEV(C17:D27)</f>
        <v>0</v>
      </c>
      <c r="E35" s="1">
        <f>STDEV(E12:J27)</f>
        <v>1.6151693192432068E-2</v>
      </c>
      <c r="K35" s="1">
        <f>STDEV(K12:L27)</f>
        <v>0.13198813179783961</v>
      </c>
      <c r="R35" s="1">
        <f>STDEV(R12:R27)</f>
        <v>1.1893275410920241</v>
      </c>
      <c r="S35" s="1">
        <f>STDEV(S12:S27)</f>
        <v>5.9234310236228854E-2</v>
      </c>
    </row>
    <row r="36" spans="1:20">
      <c r="A36" s="8" t="s">
        <v>7</v>
      </c>
      <c r="E36" s="7">
        <f>E34+E35</f>
        <v>1.5582350265257656</v>
      </c>
      <c r="K36" s="6">
        <f>K34+K35</f>
        <v>26.35480063179784</v>
      </c>
      <c r="R36" s="1">
        <f>R34+R35</f>
        <v>110.526827541092</v>
      </c>
      <c r="S36" s="9">
        <f>S35+S34</f>
        <v>13.313306990052752</v>
      </c>
    </row>
    <row r="37" spans="1:20">
      <c r="A37" s="8" t="s">
        <v>6</v>
      </c>
      <c r="E37" s="7">
        <f>E34-E35</f>
        <v>1.5259316401409013</v>
      </c>
      <c r="K37" s="6">
        <f>K34-K35</f>
        <v>26.09082436820216</v>
      </c>
      <c r="R37" s="1">
        <f>R34-R35</f>
        <v>108.14817245890795</v>
      </c>
      <c r="S37" s="9">
        <f>S34-S35</f>
        <v>13.194838369580292</v>
      </c>
    </row>
    <row r="38" spans="1:20">
      <c r="A38" s="1" t="s">
        <v>72</v>
      </c>
      <c r="C38" s="6">
        <f>MAX(C12:D27)-C32</f>
        <v>0.80000000000001137</v>
      </c>
      <c r="E38" s="7">
        <f>MAX(E12:J27)-E32</f>
        <v>4.6000000000000263E-2</v>
      </c>
      <c r="K38" s="6">
        <f>MAX(K12:L27)-$K32</f>
        <v>1.1799999999999997</v>
      </c>
    </row>
    <row r="39" spans="1:20">
      <c r="A39" s="1" t="s">
        <v>71</v>
      </c>
      <c r="C39" s="6">
        <f>MIN(C12:D27)-C32</f>
        <v>0.80000000000001137</v>
      </c>
      <c r="E39" s="7">
        <f>MIN(E12:J27)-E32</f>
        <v>-3.3999999999999808E-2</v>
      </c>
      <c r="K39" s="6">
        <f>MIN(K12:L27)-K32</f>
        <v>0.62000000000000099</v>
      </c>
    </row>
    <row r="40" spans="1:20" ht="15" thickBot="1">
      <c r="B40" s="6"/>
      <c r="C40" s="6"/>
      <c r="D40" s="6"/>
      <c r="E40" s="6"/>
      <c r="F40" s="6"/>
      <c r="G40" s="6"/>
    </row>
    <row r="41" spans="1:20">
      <c r="A41" s="1" t="s">
        <v>43</v>
      </c>
      <c r="B41" s="6"/>
      <c r="C41" s="5" t="s">
        <v>2</v>
      </c>
      <c r="D41" s="5" t="s">
        <v>1</v>
      </c>
      <c r="E41" s="6"/>
      <c r="F41" s="6"/>
      <c r="G41" s="6"/>
    </row>
    <row r="42" spans="1:20">
      <c r="A42" s="1">
        <v>1.48</v>
      </c>
      <c r="B42" s="6"/>
      <c r="C42" s="4">
        <v>1.48</v>
      </c>
      <c r="D42" s="3">
        <v>0</v>
      </c>
      <c r="E42" s="6"/>
      <c r="F42" s="6"/>
      <c r="G42" s="6"/>
    </row>
    <row r="43" spans="1:20">
      <c r="A43" s="1">
        <v>1.49</v>
      </c>
      <c r="B43" s="6"/>
      <c r="C43" s="4">
        <v>1.49</v>
      </c>
      <c r="D43" s="3">
        <v>1</v>
      </c>
      <c r="E43" s="6"/>
      <c r="F43" s="6"/>
      <c r="G43" s="6"/>
    </row>
    <row r="44" spans="1:20">
      <c r="A44" s="1">
        <f t="shared" ref="A44:A52" si="6">A43+0.01</f>
        <v>1.5</v>
      </c>
      <c r="B44" s="6"/>
      <c r="C44" s="4">
        <v>1.5</v>
      </c>
      <c r="D44" s="3">
        <v>1</v>
      </c>
      <c r="E44" s="6"/>
      <c r="F44" s="6"/>
      <c r="G44" s="6"/>
    </row>
    <row r="45" spans="1:20">
      <c r="A45" s="1">
        <f t="shared" si="6"/>
        <v>1.51</v>
      </c>
      <c r="B45" s="6"/>
      <c r="C45" s="4">
        <v>1.51</v>
      </c>
      <c r="D45" s="3">
        <v>5</v>
      </c>
      <c r="E45" s="6"/>
      <c r="F45" s="6"/>
      <c r="G45" s="6"/>
    </row>
    <row r="46" spans="1:20">
      <c r="A46" s="1">
        <f t="shared" si="6"/>
        <v>1.52</v>
      </c>
      <c r="B46" s="6"/>
      <c r="C46" s="4">
        <v>1.52</v>
      </c>
      <c r="D46" s="3">
        <v>5</v>
      </c>
      <c r="E46" s="6"/>
      <c r="F46" s="6"/>
      <c r="G46" s="6"/>
    </row>
    <row r="47" spans="1:20">
      <c r="A47" s="1">
        <f t="shared" si="6"/>
        <v>1.53</v>
      </c>
      <c r="B47" s="6"/>
      <c r="C47" s="4">
        <v>1.53</v>
      </c>
      <c r="D47" s="3">
        <v>15</v>
      </c>
      <c r="E47" s="6"/>
      <c r="F47" s="6"/>
      <c r="G47" s="6"/>
    </row>
    <row r="48" spans="1:20">
      <c r="A48" s="1">
        <f t="shared" si="6"/>
        <v>1.54</v>
      </c>
      <c r="B48" s="6"/>
      <c r="C48" s="4">
        <v>1.54</v>
      </c>
      <c r="D48" s="3">
        <v>26</v>
      </c>
      <c r="E48" s="6"/>
      <c r="F48" s="6"/>
      <c r="G48" s="6"/>
    </row>
    <row r="49" spans="1:10">
      <c r="A49" s="1">
        <f t="shared" si="6"/>
        <v>1.55</v>
      </c>
      <c r="B49" s="6"/>
      <c r="C49" s="4">
        <v>1.55</v>
      </c>
      <c r="D49" s="3">
        <v>22</v>
      </c>
      <c r="E49" s="6"/>
      <c r="F49" s="6"/>
      <c r="G49" s="6"/>
    </row>
    <row r="50" spans="1:10">
      <c r="A50" s="1">
        <f t="shared" si="6"/>
        <v>1.56</v>
      </c>
      <c r="B50" s="6"/>
      <c r="C50" s="4">
        <v>1.56</v>
      </c>
      <c r="D50" s="3">
        <v>16</v>
      </c>
      <c r="E50" s="6"/>
      <c r="F50" s="6"/>
      <c r="G50" s="6"/>
    </row>
    <row r="51" spans="1:10">
      <c r="A51" s="1">
        <f t="shared" si="6"/>
        <v>1.57</v>
      </c>
      <c r="B51" s="6"/>
      <c r="C51" s="4">
        <v>1.57</v>
      </c>
      <c r="D51" s="3">
        <v>5</v>
      </c>
      <c r="E51" s="6"/>
      <c r="F51" s="6"/>
      <c r="G51" s="6"/>
    </row>
    <row r="52" spans="1:10">
      <c r="A52" s="1">
        <f t="shared" si="6"/>
        <v>1.58</v>
      </c>
      <c r="B52" s="6"/>
      <c r="C52" s="4">
        <v>1.58</v>
      </c>
      <c r="D52" s="3">
        <v>0</v>
      </c>
      <c r="E52" s="6"/>
      <c r="F52" s="6"/>
      <c r="G52" s="6"/>
    </row>
    <row r="53" spans="1:10" ht="15" thickBot="1">
      <c r="B53" s="6"/>
      <c r="C53" s="2" t="s">
        <v>0</v>
      </c>
      <c r="D53" s="2">
        <v>0</v>
      </c>
      <c r="E53" s="6"/>
      <c r="F53" s="6"/>
      <c r="G53" s="6"/>
    </row>
    <row r="54" spans="1:10">
      <c r="B54" s="6"/>
      <c r="C54" s="6"/>
      <c r="D54" s="6"/>
      <c r="E54" s="6"/>
      <c r="F54" s="6"/>
      <c r="G54" s="6"/>
    </row>
    <row r="55" spans="1:10">
      <c r="B55" s="6"/>
      <c r="C55" s="6"/>
      <c r="D55" s="6"/>
      <c r="E55" s="6"/>
      <c r="F55" s="6"/>
      <c r="G55" s="6"/>
    </row>
    <row r="56" spans="1:10">
      <c r="C56" s="6"/>
      <c r="D56" s="6"/>
      <c r="E56" s="6"/>
      <c r="F56" s="6"/>
      <c r="G56" s="6"/>
      <c r="H56" s="6"/>
      <c r="I56" s="6"/>
      <c r="J56" s="6"/>
    </row>
  </sheetData>
  <mergeCells count="4">
    <mergeCell ref="C9:D9"/>
    <mergeCell ref="E9:I9"/>
    <mergeCell ref="K9:L9"/>
    <mergeCell ref="M9:P9"/>
  </mergeCells>
  <phoneticPr fontId="16" type="noConversion"/>
  <pageMargins left="0.25" right="0.25" top="0.25" bottom="0.25" header="0.3" footer="0.3"/>
  <pageSetup orientation="landscape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78"/>
  <sheetViews>
    <sheetView topLeftCell="A6" zoomScale="70" zoomScaleNormal="70" zoomScalePageLayoutView="70" workbookViewId="0">
      <selection activeCell="S32" sqref="S32"/>
    </sheetView>
  </sheetViews>
  <sheetFormatPr baseColWidth="10" defaultColWidth="8.83203125" defaultRowHeight="14" x14ac:dyDescent="0"/>
  <cols>
    <col min="1" max="1" width="6.33203125" style="1" customWidth="1"/>
    <col min="2" max="2" width="16.1640625" style="1" customWidth="1"/>
    <col min="3" max="4" width="5.1640625" style="1" customWidth="1"/>
    <col min="5" max="9" width="6.83203125" style="1" customWidth="1"/>
    <col min="10" max="10" width="6.83203125" style="1" bestFit="1" customWidth="1"/>
    <col min="11" max="12" width="6.83203125" style="1" customWidth="1"/>
    <col min="13" max="16" width="3.6640625" style="1" customWidth="1"/>
    <col min="17" max="17" width="6.33203125" style="1" customWidth="1"/>
    <col min="18" max="18" width="7" style="1" customWidth="1"/>
    <col min="19" max="19" width="6.1640625" style="1" customWidth="1"/>
    <col min="20" max="20" width="9.83203125" style="1" customWidth="1"/>
    <col min="21" max="16384" width="8.83203125" style="1"/>
  </cols>
  <sheetData>
    <row r="1" spans="1:28">
      <c r="A1" s="1" t="s">
        <v>49</v>
      </c>
      <c r="B1" s="79"/>
    </row>
    <row r="2" spans="1:28">
      <c r="A2" s="1" t="s">
        <v>48</v>
      </c>
      <c r="B2" s="79"/>
    </row>
    <row r="3" spans="1:28">
      <c r="A3" s="1" t="s">
        <v>47</v>
      </c>
      <c r="B3" s="79"/>
    </row>
    <row r="4" spans="1:28">
      <c r="B4" s="79"/>
    </row>
    <row r="5" spans="1:28">
      <c r="B5" s="1" t="s">
        <v>46</v>
      </c>
      <c r="C5" s="1" t="s">
        <v>45</v>
      </c>
    </row>
    <row r="6" spans="1:28">
      <c r="A6" s="1" t="s">
        <v>98</v>
      </c>
      <c r="B6" s="79">
        <v>0.06</v>
      </c>
      <c r="C6" s="79">
        <f>B6*25.4</f>
        <v>1.5239999999999998</v>
      </c>
      <c r="D6" s="79"/>
      <c r="E6" s="80"/>
      <c r="F6" s="80"/>
      <c r="G6" s="80"/>
      <c r="H6" s="80"/>
      <c r="I6" s="80"/>
      <c r="J6" s="80"/>
      <c r="K6" s="79"/>
      <c r="L6" s="79"/>
      <c r="M6" s="79"/>
      <c r="N6" s="79"/>
      <c r="O6" s="79"/>
      <c r="P6" s="79"/>
      <c r="Q6" s="79"/>
      <c r="R6" s="78"/>
      <c r="S6" s="78"/>
      <c r="T6" s="78"/>
    </row>
    <row r="7" spans="1:28">
      <c r="B7" s="79"/>
      <c r="C7" s="79"/>
      <c r="D7" s="79"/>
      <c r="E7" s="80"/>
      <c r="F7" s="80"/>
      <c r="G7" s="80"/>
      <c r="H7" s="80"/>
      <c r="I7" s="80"/>
      <c r="J7" s="80"/>
      <c r="K7" s="79"/>
      <c r="L7" s="79"/>
      <c r="M7" s="79"/>
      <c r="N7" s="79"/>
      <c r="O7" s="79"/>
      <c r="P7" s="79"/>
      <c r="Q7" s="79"/>
      <c r="R7" s="78"/>
      <c r="S7" s="78"/>
      <c r="T7" s="78"/>
    </row>
    <row r="8" spans="1:28">
      <c r="A8" s="77" t="s">
        <v>43</v>
      </c>
      <c r="B8" s="79"/>
      <c r="C8" s="79"/>
      <c r="D8" s="79"/>
      <c r="E8" s="80"/>
      <c r="F8" s="80"/>
      <c r="G8" s="80"/>
      <c r="H8" s="80"/>
      <c r="I8" s="80"/>
      <c r="J8" s="80"/>
      <c r="K8" s="79"/>
      <c r="L8" s="79"/>
      <c r="M8" s="79"/>
      <c r="N8" s="79"/>
      <c r="O8" s="79"/>
      <c r="P8" s="79"/>
      <c r="Q8" s="79"/>
      <c r="R8" s="78"/>
      <c r="S8" s="78"/>
      <c r="T8" s="78"/>
      <c r="V8" s="221" t="s">
        <v>42</v>
      </c>
      <c r="Y8" s="221"/>
    </row>
    <row r="9" spans="1:28" ht="42">
      <c r="A9" s="71" t="s">
        <v>32</v>
      </c>
      <c r="B9" s="76" t="s">
        <v>41</v>
      </c>
      <c r="C9" s="386" t="s">
        <v>40</v>
      </c>
      <c r="D9" s="387"/>
      <c r="E9" s="385" t="s">
        <v>39</v>
      </c>
      <c r="F9" s="385"/>
      <c r="G9" s="385"/>
      <c r="H9" s="385"/>
      <c r="I9" s="385"/>
      <c r="J9" s="75"/>
      <c r="K9" s="386" t="s">
        <v>38</v>
      </c>
      <c r="L9" s="387"/>
      <c r="M9" s="386" t="s">
        <v>37</v>
      </c>
      <c r="N9" s="384"/>
      <c r="O9" s="384"/>
      <c r="P9" s="384"/>
      <c r="Q9" s="74" t="s">
        <v>36</v>
      </c>
      <c r="R9" s="204" t="s">
        <v>70</v>
      </c>
      <c r="S9" s="203" t="s">
        <v>69</v>
      </c>
      <c r="T9" s="19" t="s">
        <v>33</v>
      </c>
      <c r="V9" s="19" t="s">
        <v>32</v>
      </c>
      <c r="W9" s="253" t="s">
        <v>58</v>
      </c>
      <c r="X9" s="69" t="s">
        <v>31</v>
      </c>
      <c r="Y9" s="68" t="s">
        <v>30</v>
      </c>
      <c r="Z9" s="19" t="s">
        <v>29</v>
      </c>
      <c r="AA9" s="67" t="s">
        <v>51</v>
      </c>
      <c r="AB9" s="67" t="s">
        <v>97</v>
      </c>
    </row>
    <row r="10" spans="1:28" s="10" customFormat="1">
      <c r="A10" s="16"/>
      <c r="B10" s="217"/>
      <c r="C10" s="219">
        <v>1</v>
      </c>
      <c r="D10" s="217">
        <v>2</v>
      </c>
      <c r="E10" s="219">
        <v>1</v>
      </c>
      <c r="F10" s="218">
        <v>2</v>
      </c>
      <c r="G10" s="218">
        <v>3</v>
      </c>
      <c r="H10" s="218">
        <v>4</v>
      </c>
      <c r="I10" s="218">
        <v>5</v>
      </c>
      <c r="J10" s="217">
        <v>6</v>
      </c>
      <c r="K10" s="219">
        <v>1</v>
      </c>
      <c r="L10" s="217">
        <v>2</v>
      </c>
      <c r="M10" s="219">
        <v>1</v>
      </c>
      <c r="N10" s="218">
        <v>2</v>
      </c>
      <c r="O10" s="218">
        <v>3</v>
      </c>
      <c r="P10" s="218">
        <v>4</v>
      </c>
      <c r="Q10" s="217"/>
      <c r="R10" s="216"/>
      <c r="S10" s="215"/>
      <c r="T10" s="35"/>
      <c r="V10" s="35"/>
      <c r="W10" s="35"/>
      <c r="X10" s="59"/>
      <c r="Y10" s="59"/>
      <c r="Z10" s="59"/>
      <c r="AA10" s="59"/>
    </row>
    <row r="11" spans="1:28">
      <c r="A11" s="12"/>
      <c r="B11" s="187"/>
      <c r="C11" s="177"/>
      <c r="D11" s="187"/>
      <c r="E11" s="122"/>
      <c r="F11" s="47"/>
      <c r="G11" s="47"/>
      <c r="H11" s="47"/>
      <c r="I11" s="47"/>
      <c r="J11" s="121"/>
      <c r="K11" s="177"/>
      <c r="L11" s="187"/>
      <c r="M11" s="177"/>
      <c r="N11" s="55"/>
      <c r="O11" s="55"/>
      <c r="P11" s="55"/>
      <c r="Q11" s="187"/>
      <c r="R11" s="37"/>
      <c r="S11" s="53"/>
      <c r="T11" s="35"/>
      <c r="V11" s="35"/>
      <c r="W11" s="35"/>
      <c r="X11" s="52"/>
      <c r="Y11" s="35"/>
      <c r="Z11" s="35"/>
      <c r="AA11" s="35"/>
    </row>
    <row r="12" spans="1:28">
      <c r="A12" s="12">
        <v>1</v>
      </c>
      <c r="B12" s="187"/>
      <c r="C12" s="213">
        <v>204</v>
      </c>
      <c r="D12" s="182">
        <v>204</v>
      </c>
      <c r="E12" s="118">
        <v>1.53</v>
      </c>
      <c r="F12" s="42">
        <v>1.53</v>
      </c>
      <c r="G12" s="42">
        <v>1.53</v>
      </c>
      <c r="H12" s="42">
        <v>1.53</v>
      </c>
      <c r="I12" s="42">
        <v>1.54</v>
      </c>
      <c r="J12" s="212">
        <v>1.54</v>
      </c>
      <c r="K12" s="166">
        <v>26.14</v>
      </c>
      <c r="L12" s="165">
        <v>26.15</v>
      </c>
      <c r="M12" s="276"/>
      <c r="N12" s="275"/>
      <c r="O12" s="275"/>
      <c r="P12" s="271"/>
      <c r="Q12" s="274" t="s">
        <v>19</v>
      </c>
      <c r="R12" s="37">
        <v>108.2</v>
      </c>
      <c r="S12" s="36">
        <f t="shared" ref="S12:S32" si="0">R12/(AVERAGE(C12:D12)*AVERAGE(E12:J12)*AVERAGE(K12:L12)*0.001)</f>
        <v>13.230366356425582</v>
      </c>
      <c r="T12" s="35">
        <v>3</v>
      </c>
      <c r="V12" s="35">
        <v>1</v>
      </c>
      <c r="W12" s="160">
        <f t="shared" ref="W12:W32" si="1">MAX(E12:J12)-MIN(E12:J12)</f>
        <v>1.0000000000000009E-2</v>
      </c>
      <c r="X12" s="35">
        <f t="shared" ref="X12:X27" si="2">IF(OR(ABS(E12-$C$6)&gt;($C$6*0.1),ABS(F12-$C$6)&gt;($C$6*0.1),ABS(G12-$C$6)&gt;($C$6*0.1),ABS(H12-$C$6)&gt;($C$6*0.1),ABS(I12-$C$6)&gt;($C$6*0.1),ABS(J12-$C$6)&gt;($C$6*0.1)),1,0)</f>
        <v>0</v>
      </c>
      <c r="Y12" s="35">
        <v>0</v>
      </c>
      <c r="Z12" s="34">
        <v>0</v>
      </c>
      <c r="AA12" s="35">
        <f t="shared" ref="AA12:AA27" si="3">IF(OR(M12="Y",N12="Y",O12="Y",P12="Y"),1,0)</f>
        <v>0</v>
      </c>
    </row>
    <row r="13" spans="1:28">
      <c r="A13" s="12">
        <f t="shared" ref="A13:A27" si="4">A12+1</f>
        <v>2</v>
      </c>
      <c r="B13" s="187"/>
      <c r="C13" s="213">
        <v>204</v>
      </c>
      <c r="D13" s="182">
        <v>204</v>
      </c>
      <c r="E13" s="122">
        <v>1.55</v>
      </c>
      <c r="F13" s="47">
        <v>1.55</v>
      </c>
      <c r="G13" s="47">
        <v>1.56</v>
      </c>
      <c r="H13" s="47">
        <v>1.56</v>
      </c>
      <c r="I13" s="47">
        <v>1.57</v>
      </c>
      <c r="J13" s="121">
        <v>1.56</v>
      </c>
      <c r="K13" s="166">
        <v>26.34</v>
      </c>
      <c r="L13" s="165">
        <v>26.21</v>
      </c>
      <c r="M13" s="276"/>
      <c r="N13" s="275"/>
      <c r="O13" s="275" t="s">
        <v>20</v>
      </c>
      <c r="P13" s="271"/>
      <c r="Q13" s="274" t="s">
        <v>19</v>
      </c>
      <c r="R13" s="37">
        <v>110.5</v>
      </c>
      <c r="S13" s="36">
        <f t="shared" si="0"/>
        <v>13.229061194584226</v>
      </c>
      <c r="T13" s="35">
        <v>3</v>
      </c>
      <c r="V13" s="35">
        <f t="shared" ref="V13:V27" si="5">V12+1</f>
        <v>2</v>
      </c>
      <c r="W13" s="160">
        <f t="shared" si="1"/>
        <v>2.0000000000000018E-2</v>
      </c>
      <c r="X13" s="35">
        <f t="shared" si="2"/>
        <v>0</v>
      </c>
      <c r="Y13" s="35">
        <v>0</v>
      </c>
      <c r="Z13" s="34">
        <v>0</v>
      </c>
      <c r="AA13" s="35">
        <f t="shared" si="3"/>
        <v>0</v>
      </c>
    </row>
    <row r="14" spans="1:28">
      <c r="A14" s="12">
        <f t="shared" si="4"/>
        <v>3</v>
      </c>
      <c r="B14" s="187"/>
      <c r="C14" s="213">
        <v>204</v>
      </c>
      <c r="D14" s="182">
        <v>204</v>
      </c>
      <c r="E14" s="122">
        <v>1.57</v>
      </c>
      <c r="F14" s="47">
        <v>1.56</v>
      </c>
      <c r="G14" s="47">
        <v>1.55</v>
      </c>
      <c r="H14" s="47">
        <v>1.56</v>
      </c>
      <c r="I14" s="47">
        <v>1.55</v>
      </c>
      <c r="J14" s="121">
        <v>1.56</v>
      </c>
      <c r="K14" s="166">
        <v>26.42</v>
      </c>
      <c r="L14" s="165">
        <v>26.15</v>
      </c>
      <c r="M14" s="276"/>
      <c r="N14" s="275"/>
      <c r="O14" s="275"/>
      <c r="P14" s="271"/>
      <c r="Q14" s="270"/>
      <c r="R14" s="37">
        <v>110.6</v>
      </c>
      <c r="S14" s="36">
        <f t="shared" si="0"/>
        <v>13.235995709191771</v>
      </c>
      <c r="T14" s="35">
        <v>3</v>
      </c>
      <c r="V14" s="35">
        <f t="shared" si="5"/>
        <v>3</v>
      </c>
      <c r="W14" s="160">
        <f t="shared" si="1"/>
        <v>2.0000000000000018E-2</v>
      </c>
      <c r="X14" s="35">
        <f t="shared" si="2"/>
        <v>0</v>
      </c>
      <c r="Y14" s="35">
        <v>0</v>
      </c>
      <c r="Z14" s="34">
        <v>0</v>
      </c>
      <c r="AA14" s="35">
        <f t="shared" si="3"/>
        <v>0</v>
      </c>
    </row>
    <row r="15" spans="1:28">
      <c r="A15" s="44">
        <f t="shared" si="4"/>
        <v>4</v>
      </c>
      <c r="B15" s="187"/>
      <c r="C15" s="213">
        <v>204</v>
      </c>
      <c r="D15" s="182">
        <v>204</v>
      </c>
      <c r="E15" s="122">
        <v>1.54</v>
      </c>
      <c r="F15" s="47">
        <v>1.52</v>
      </c>
      <c r="G15" s="47">
        <v>1.56</v>
      </c>
      <c r="H15" s="47">
        <v>1.54</v>
      </c>
      <c r="I15" s="47">
        <v>1.57</v>
      </c>
      <c r="J15" s="121">
        <v>1.55</v>
      </c>
      <c r="K15" s="166">
        <v>26.07</v>
      </c>
      <c r="L15" s="165">
        <v>26.44</v>
      </c>
      <c r="M15" s="276" t="s">
        <v>20</v>
      </c>
      <c r="N15" s="275"/>
      <c r="O15" s="275"/>
      <c r="P15" s="271"/>
      <c r="Q15" s="274" t="s">
        <v>21</v>
      </c>
      <c r="R15" s="37">
        <v>110.3</v>
      </c>
      <c r="S15" s="36">
        <f t="shared" si="0"/>
        <v>13.31485976012296</v>
      </c>
      <c r="T15" s="35">
        <v>3</v>
      </c>
      <c r="V15" s="172">
        <f t="shared" si="5"/>
        <v>4</v>
      </c>
      <c r="W15" s="160">
        <f t="shared" si="1"/>
        <v>5.0000000000000044E-2</v>
      </c>
      <c r="X15" s="35">
        <f t="shared" si="2"/>
        <v>0</v>
      </c>
      <c r="Y15" s="35">
        <v>0</v>
      </c>
      <c r="Z15" s="34">
        <v>0</v>
      </c>
      <c r="AA15" s="35">
        <f t="shared" si="3"/>
        <v>0</v>
      </c>
    </row>
    <row r="16" spans="1:28">
      <c r="A16" s="12">
        <f t="shared" si="4"/>
        <v>5</v>
      </c>
      <c r="B16" s="187"/>
      <c r="C16" s="213">
        <v>204</v>
      </c>
      <c r="D16" s="182">
        <v>204</v>
      </c>
      <c r="E16" s="122">
        <v>1.54</v>
      </c>
      <c r="F16" s="47">
        <v>1.53</v>
      </c>
      <c r="G16" s="47">
        <v>1.54</v>
      </c>
      <c r="H16" s="47">
        <v>1.54</v>
      </c>
      <c r="I16" s="47">
        <v>1.54</v>
      </c>
      <c r="J16" s="121">
        <v>1.54</v>
      </c>
      <c r="K16" s="166">
        <v>26.41</v>
      </c>
      <c r="L16" s="165">
        <v>26.2</v>
      </c>
      <c r="M16" s="276"/>
      <c r="N16" s="275"/>
      <c r="O16" s="275"/>
      <c r="P16" s="271"/>
      <c r="Q16" s="274" t="s">
        <v>21</v>
      </c>
      <c r="R16" s="37">
        <v>109.6</v>
      </c>
      <c r="S16" s="36">
        <f t="shared" si="0"/>
        <v>13.276745485915621</v>
      </c>
      <c r="T16" s="35">
        <v>3</v>
      </c>
      <c r="V16" s="35">
        <f t="shared" si="5"/>
        <v>5</v>
      </c>
      <c r="W16" s="160">
        <f t="shared" si="1"/>
        <v>1.0000000000000009E-2</v>
      </c>
      <c r="X16" s="35">
        <f t="shared" si="2"/>
        <v>0</v>
      </c>
      <c r="Y16" s="35">
        <v>0</v>
      </c>
      <c r="Z16" s="34">
        <v>0</v>
      </c>
      <c r="AA16" s="35">
        <f t="shared" si="3"/>
        <v>0</v>
      </c>
    </row>
    <row r="17" spans="1:28">
      <c r="A17" s="12">
        <f t="shared" si="4"/>
        <v>6</v>
      </c>
      <c r="B17" s="187"/>
      <c r="C17" s="213">
        <v>204</v>
      </c>
      <c r="D17" s="182">
        <v>204</v>
      </c>
      <c r="E17" s="122">
        <v>1.51</v>
      </c>
      <c r="F17" s="47">
        <v>1.52</v>
      </c>
      <c r="G17" s="47">
        <v>1.52</v>
      </c>
      <c r="H17" s="47">
        <v>1.52</v>
      </c>
      <c r="I17" s="47">
        <v>1.51</v>
      </c>
      <c r="J17" s="121">
        <v>1.51</v>
      </c>
      <c r="K17" s="166">
        <v>26.34</v>
      </c>
      <c r="L17" s="165">
        <v>26.17</v>
      </c>
      <c r="M17" s="276"/>
      <c r="N17" s="275"/>
      <c r="O17" s="275"/>
      <c r="P17" s="271"/>
      <c r="Q17" s="274" t="s">
        <v>21</v>
      </c>
      <c r="R17" s="37">
        <v>108</v>
      </c>
      <c r="S17" s="36">
        <f t="shared" si="0"/>
        <v>13.309720410467339</v>
      </c>
      <c r="T17" s="35">
        <v>3</v>
      </c>
      <c r="V17" s="35">
        <f t="shared" si="5"/>
        <v>6</v>
      </c>
      <c r="W17" s="160">
        <f t="shared" si="1"/>
        <v>1.0000000000000009E-2</v>
      </c>
      <c r="X17" s="35">
        <f t="shared" si="2"/>
        <v>0</v>
      </c>
      <c r="Y17" s="35">
        <v>0</v>
      </c>
      <c r="Z17" s="34">
        <v>0</v>
      </c>
      <c r="AA17" s="35">
        <f t="shared" si="3"/>
        <v>0</v>
      </c>
    </row>
    <row r="18" spans="1:28">
      <c r="A18" s="12">
        <f t="shared" si="4"/>
        <v>7</v>
      </c>
      <c r="B18" s="187"/>
      <c r="C18" s="213">
        <v>204</v>
      </c>
      <c r="D18" s="182">
        <v>204</v>
      </c>
      <c r="E18" s="122">
        <v>1.55</v>
      </c>
      <c r="F18" s="47">
        <v>1.55</v>
      </c>
      <c r="G18" s="47">
        <v>1.55</v>
      </c>
      <c r="H18" s="47">
        <v>1.55</v>
      </c>
      <c r="I18" s="47">
        <v>1.56</v>
      </c>
      <c r="J18" s="121">
        <v>1.56</v>
      </c>
      <c r="K18" s="166">
        <v>26.18</v>
      </c>
      <c r="L18" s="165">
        <v>26.19</v>
      </c>
      <c r="M18" s="276"/>
      <c r="N18" s="275"/>
      <c r="O18" s="275"/>
      <c r="P18" s="271"/>
      <c r="Q18" s="274" t="s">
        <v>21</v>
      </c>
      <c r="R18" s="37">
        <v>109.9</v>
      </c>
      <c r="S18" s="36">
        <f t="shared" si="0"/>
        <v>13.244948829664748</v>
      </c>
      <c r="T18" s="35">
        <v>3</v>
      </c>
      <c r="V18" s="35">
        <f t="shared" si="5"/>
        <v>7</v>
      </c>
      <c r="W18" s="160">
        <f t="shared" si="1"/>
        <v>1.0000000000000009E-2</v>
      </c>
      <c r="X18" s="35">
        <f t="shared" si="2"/>
        <v>0</v>
      </c>
      <c r="Y18" s="35">
        <v>0</v>
      </c>
      <c r="Z18" s="34">
        <v>0</v>
      </c>
      <c r="AA18" s="35">
        <f t="shared" si="3"/>
        <v>0</v>
      </c>
    </row>
    <row r="19" spans="1:28">
      <c r="A19" s="12">
        <f t="shared" si="4"/>
        <v>8</v>
      </c>
      <c r="B19" s="187"/>
      <c r="C19" s="213">
        <v>204</v>
      </c>
      <c r="D19" s="182">
        <v>204</v>
      </c>
      <c r="E19" s="122">
        <v>1.52</v>
      </c>
      <c r="F19" s="47">
        <v>1.53</v>
      </c>
      <c r="G19" s="47">
        <v>1.53</v>
      </c>
      <c r="H19" s="47">
        <v>1.54</v>
      </c>
      <c r="I19" s="47">
        <v>1.55</v>
      </c>
      <c r="J19" s="121">
        <v>1.55</v>
      </c>
      <c r="K19" s="166">
        <v>26.35</v>
      </c>
      <c r="L19" s="165">
        <v>26.12</v>
      </c>
      <c r="M19" s="276"/>
      <c r="N19" s="275"/>
      <c r="O19" s="275"/>
      <c r="P19" s="271"/>
      <c r="Q19" s="274" t="s">
        <v>21</v>
      </c>
      <c r="R19" s="37">
        <v>109.1</v>
      </c>
      <c r="S19" s="36">
        <f t="shared" si="0"/>
        <v>13.265812173268577</v>
      </c>
      <c r="T19" s="35">
        <v>3</v>
      </c>
      <c r="V19" s="35">
        <f t="shared" si="5"/>
        <v>8</v>
      </c>
      <c r="W19" s="160">
        <f t="shared" si="1"/>
        <v>3.0000000000000027E-2</v>
      </c>
      <c r="X19" s="35">
        <f t="shared" si="2"/>
        <v>0</v>
      </c>
      <c r="Y19" s="35">
        <v>0</v>
      </c>
      <c r="Z19" s="34">
        <v>0</v>
      </c>
      <c r="AA19" s="35">
        <f t="shared" si="3"/>
        <v>0</v>
      </c>
    </row>
    <row r="20" spans="1:28">
      <c r="A20" s="12">
        <f t="shared" si="4"/>
        <v>9</v>
      </c>
      <c r="B20" s="187"/>
      <c r="C20" s="213">
        <v>204</v>
      </c>
      <c r="D20" s="182">
        <v>204</v>
      </c>
      <c r="E20" s="118">
        <v>1.54</v>
      </c>
      <c r="F20" s="42">
        <v>1.55</v>
      </c>
      <c r="G20" s="42">
        <v>1.55</v>
      </c>
      <c r="H20" s="42">
        <v>1.56</v>
      </c>
      <c r="I20" s="42">
        <v>1.55</v>
      </c>
      <c r="J20" s="212">
        <v>1.55</v>
      </c>
      <c r="K20" s="166">
        <v>26.06</v>
      </c>
      <c r="L20" s="165">
        <v>26.21</v>
      </c>
      <c r="M20" s="276"/>
      <c r="N20" s="275"/>
      <c r="O20" s="275"/>
      <c r="P20" s="271"/>
      <c r="Q20" s="270"/>
      <c r="R20" s="37">
        <v>110.3</v>
      </c>
      <c r="S20" s="36">
        <f t="shared" si="0"/>
        <v>13.347229941551719</v>
      </c>
      <c r="T20" s="35">
        <v>3</v>
      </c>
      <c r="V20" s="35">
        <f t="shared" si="5"/>
        <v>9</v>
      </c>
      <c r="W20" s="160">
        <f t="shared" si="1"/>
        <v>2.0000000000000018E-2</v>
      </c>
      <c r="X20" s="35">
        <f t="shared" si="2"/>
        <v>0</v>
      </c>
      <c r="Y20" s="35">
        <v>0</v>
      </c>
      <c r="Z20" s="34">
        <v>0</v>
      </c>
      <c r="AA20" s="35">
        <f t="shared" si="3"/>
        <v>0</v>
      </c>
    </row>
    <row r="21" spans="1:28">
      <c r="A21" s="12">
        <f t="shared" si="4"/>
        <v>10</v>
      </c>
      <c r="B21" s="187"/>
      <c r="C21" s="213">
        <v>204</v>
      </c>
      <c r="D21" s="182">
        <v>204</v>
      </c>
      <c r="E21" s="122">
        <v>1.54</v>
      </c>
      <c r="F21" s="47">
        <v>1.55</v>
      </c>
      <c r="G21" s="47">
        <v>1.54</v>
      </c>
      <c r="H21" s="47">
        <v>1.54</v>
      </c>
      <c r="I21" s="47">
        <v>1.54</v>
      </c>
      <c r="J21" s="121">
        <v>1.54</v>
      </c>
      <c r="K21" s="166">
        <v>26.15</v>
      </c>
      <c r="L21" s="165">
        <v>26.58</v>
      </c>
      <c r="M21" s="276"/>
      <c r="N21" s="275"/>
      <c r="O21" s="275"/>
      <c r="P21" s="271"/>
      <c r="Q21" s="274" t="s">
        <v>21</v>
      </c>
      <c r="R21" s="37">
        <v>109.8</v>
      </c>
      <c r="S21" s="36">
        <f t="shared" si="0"/>
        <v>13.24201009612819</v>
      </c>
      <c r="T21" s="35">
        <v>3</v>
      </c>
      <c r="V21" s="35">
        <f t="shared" si="5"/>
        <v>10</v>
      </c>
      <c r="W21" s="160">
        <f t="shared" si="1"/>
        <v>1.0000000000000009E-2</v>
      </c>
      <c r="X21" s="35">
        <f t="shared" si="2"/>
        <v>0</v>
      </c>
      <c r="Y21" s="35">
        <v>0</v>
      </c>
      <c r="Z21" s="34">
        <v>0</v>
      </c>
      <c r="AA21" s="35">
        <f t="shared" si="3"/>
        <v>0</v>
      </c>
    </row>
    <row r="22" spans="1:28">
      <c r="A22" s="12">
        <f t="shared" si="4"/>
        <v>11</v>
      </c>
      <c r="B22" s="187"/>
      <c r="C22" s="213">
        <v>204</v>
      </c>
      <c r="D22" s="182">
        <v>204</v>
      </c>
      <c r="E22" s="122">
        <v>1.53</v>
      </c>
      <c r="F22" s="47">
        <v>1.53</v>
      </c>
      <c r="G22" s="47">
        <v>1.55</v>
      </c>
      <c r="H22" s="47">
        <v>1.55</v>
      </c>
      <c r="I22" s="47">
        <v>1.55</v>
      </c>
      <c r="J22" s="121">
        <v>1.54</v>
      </c>
      <c r="K22" s="166">
        <v>26.07</v>
      </c>
      <c r="L22" s="165">
        <v>26.37</v>
      </c>
      <c r="M22" s="276"/>
      <c r="N22" s="275"/>
      <c r="O22" s="275"/>
      <c r="P22" s="271"/>
      <c r="Q22" s="270"/>
      <c r="R22" s="37">
        <v>110.1</v>
      </c>
      <c r="S22" s="36">
        <f t="shared" si="0"/>
        <v>13.351620566588933</v>
      </c>
      <c r="T22" s="35">
        <v>3</v>
      </c>
      <c r="V22" s="35">
        <f t="shared" si="5"/>
        <v>11</v>
      </c>
      <c r="W22" s="160">
        <f t="shared" si="1"/>
        <v>2.0000000000000018E-2</v>
      </c>
      <c r="X22" s="35">
        <f t="shared" si="2"/>
        <v>0</v>
      </c>
      <c r="Y22" s="35">
        <v>0</v>
      </c>
      <c r="Z22" s="34">
        <v>0</v>
      </c>
      <c r="AA22" s="35">
        <f t="shared" si="3"/>
        <v>0</v>
      </c>
    </row>
    <row r="23" spans="1:28" ht="28">
      <c r="A23" s="258">
        <f t="shared" si="4"/>
        <v>12</v>
      </c>
      <c r="B23" s="187"/>
      <c r="C23" s="213">
        <v>204</v>
      </c>
      <c r="D23" s="182">
        <v>204</v>
      </c>
      <c r="E23" s="122">
        <v>1.57</v>
      </c>
      <c r="F23" s="47">
        <v>1.56</v>
      </c>
      <c r="G23" s="47">
        <v>1.57</v>
      </c>
      <c r="H23" s="47">
        <v>1.56</v>
      </c>
      <c r="I23" s="47">
        <v>1.55</v>
      </c>
      <c r="J23" s="121">
        <v>1.54</v>
      </c>
      <c r="K23" s="166">
        <v>26.21</v>
      </c>
      <c r="L23" s="165">
        <v>26.36</v>
      </c>
      <c r="M23" s="276"/>
      <c r="N23" s="275"/>
      <c r="O23" s="275"/>
      <c r="P23" s="271"/>
      <c r="Q23" s="274" t="s">
        <v>50</v>
      </c>
      <c r="R23" s="37">
        <v>110.3</v>
      </c>
      <c r="S23" s="36">
        <f t="shared" si="0"/>
        <v>13.200093370016749</v>
      </c>
      <c r="T23" s="35">
        <v>3</v>
      </c>
      <c r="V23" s="257">
        <f t="shared" si="5"/>
        <v>12</v>
      </c>
      <c r="W23" s="160">
        <f t="shared" si="1"/>
        <v>3.0000000000000027E-2</v>
      </c>
      <c r="X23" s="35">
        <f t="shared" si="2"/>
        <v>0</v>
      </c>
      <c r="Y23" s="35">
        <v>0</v>
      </c>
      <c r="Z23" s="34">
        <v>0</v>
      </c>
      <c r="AA23" s="35">
        <f t="shared" si="3"/>
        <v>0</v>
      </c>
      <c r="AB23" t="s">
        <v>96</v>
      </c>
    </row>
    <row r="24" spans="1:28">
      <c r="A24" s="12">
        <f t="shared" si="4"/>
        <v>13</v>
      </c>
      <c r="B24" s="187"/>
      <c r="C24" s="213">
        <v>204</v>
      </c>
      <c r="D24" s="182">
        <v>204</v>
      </c>
      <c r="E24" s="122">
        <v>1.54</v>
      </c>
      <c r="F24" s="47">
        <v>1.56</v>
      </c>
      <c r="G24" s="47">
        <v>1.54</v>
      </c>
      <c r="H24" s="47">
        <v>1.56</v>
      </c>
      <c r="I24" s="47">
        <v>1.53</v>
      </c>
      <c r="J24" s="121">
        <v>1.54</v>
      </c>
      <c r="K24" s="166">
        <v>26.16</v>
      </c>
      <c r="L24" s="165">
        <v>26.26</v>
      </c>
      <c r="M24" s="276"/>
      <c r="N24" s="275"/>
      <c r="O24" s="275"/>
      <c r="P24" s="271"/>
      <c r="Q24" s="274" t="s">
        <v>21</v>
      </c>
      <c r="R24" s="37">
        <v>108.8</v>
      </c>
      <c r="S24" s="36">
        <f t="shared" si="0"/>
        <v>13.170529130123594</v>
      </c>
      <c r="T24" s="35">
        <v>3</v>
      </c>
      <c r="V24" s="35">
        <f t="shared" si="5"/>
        <v>13</v>
      </c>
      <c r="W24" s="160">
        <f t="shared" si="1"/>
        <v>3.0000000000000027E-2</v>
      </c>
      <c r="X24" s="35">
        <f t="shared" si="2"/>
        <v>0</v>
      </c>
      <c r="Y24" s="35">
        <v>0</v>
      </c>
      <c r="Z24" s="34">
        <v>0</v>
      </c>
      <c r="AA24" s="35">
        <f t="shared" si="3"/>
        <v>0</v>
      </c>
    </row>
    <row r="25" spans="1:28">
      <c r="A25" s="12">
        <f t="shared" si="4"/>
        <v>14</v>
      </c>
      <c r="B25" s="187"/>
      <c r="C25" s="213">
        <v>204</v>
      </c>
      <c r="D25" s="182">
        <v>204</v>
      </c>
      <c r="E25" s="122">
        <v>1.53</v>
      </c>
      <c r="F25" s="47">
        <v>1.54</v>
      </c>
      <c r="G25" s="47">
        <v>1.53</v>
      </c>
      <c r="H25" s="47">
        <v>1.54</v>
      </c>
      <c r="I25" s="47">
        <v>1.55</v>
      </c>
      <c r="J25" s="121">
        <v>1.55</v>
      </c>
      <c r="K25" s="166">
        <v>26.02</v>
      </c>
      <c r="L25" s="165">
        <v>26.17</v>
      </c>
      <c r="M25" s="276"/>
      <c r="N25" s="275"/>
      <c r="O25" s="275"/>
      <c r="P25" s="271"/>
      <c r="Q25" s="270"/>
      <c r="R25" s="37">
        <v>108.8</v>
      </c>
      <c r="S25" s="36">
        <f t="shared" si="0"/>
        <v>13.271521223236112</v>
      </c>
      <c r="T25" s="35">
        <v>3</v>
      </c>
      <c r="V25" s="35">
        <f t="shared" si="5"/>
        <v>14</v>
      </c>
      <c r="W25" s="160">
        <f t="shared" si="1"/>
        <v>2.0000000000000018E-2</v>
      </c>
      <c r="X25" s="35">
        <f t="shared" si="2"/>
        <v>0</v>
      </c>
      <c r="Y25" s="35">
        <v>0</v>
      </c>
      <c r="Z25" s="34">
        <v>0</v>
      </c>
      <c r="AA25" s="35">
        <f t="shared" si="3"/>
        <v>0</v>
      </c>
    </row>
    <row r="26" spans="1:28">
      <c r="A26" s="12">
        <f t="shared" si="4"/>
        <v>15</v>
      </c>
      <c r="B26" s="187"/>
      <c r="C26" s="213">
        <v>204</v>
      </c>
      <c r="D26" s="182">
        <v>204</v>
      </c>
      <c r="E26" s="122">
        <v>1.51</v>
      </c>
      <c r="F26" s="47">
        <v>1.49</v>
      </c>
      <c r="G26" s="47">
        <v>1.53</v>
      </c>
      <c r="H26" s="47">
        <v>1.5</v>
      </c>
      <c r="I26" s="47">
        <v>1.53</v>
      </c>
      <c r="J26" s="121">
        <v>1.51</v>
      </c>
      <c r="K26" s="166">
        <v>26.1</v>
      </c>
      <c r="L26" s="165">
        <v>26.3</v>
      </c>
      <c r="M26" s="276"/>
      <c r="N26" s="275"/>
      <c r="O26" s="275"/>
      <c r="P26" s="271"/>
      <c r="Q26" s="274" t="s">
        <v>21</v>
      </c>
      <c r="R26" s="37">
        <v>106.1</v>
      </c>
      <c r="S26" s="36">
        <f t="shared" si="0"/>
        <v>13.131909723752146</v>
      </c>
      <c r="T26" s="35">
        <v>3</v>
      </c>
      <c r="V26" s="35">
        <f t="shared" si="5"/>
        <v>15</v>
      </c>
      <c r="W26" s="160">
        <f t="shared" si="1"/>
        <v>4.0000000000000036E-2</v>
      </c>
      <c r="X26" s="35">
        <f t="shared" si="2"/>
        <v>0</v>
      </c>
      <c r="Y26" s="35">
        <v>0</v>
      </c>
      <c r="Z26" s="34">
        <v>0</v>
      </c>
      <c r="AA26" s="35">
        <f t="shared" si="3"/>
        <v>0</v>
      </c>
    </row>
    <row r="27" spans="1:28">
      <c r="A27" s="71">
        <f t="shared" si="4"/>
        <v>16</v>
      </c>
      <c r="B27" s="261"/>
      <c r="C27" s="210">
        <v>204</v>
      </c>
      <c r="D27" s="209">
        <v>204</v>
      </c>
      <c r="E27" s="285">
        <v>1.53</v>
      </c>
      <c r="F27" s="75">
        <v>1.54</v>
      </c>
      <c r="G27" s="75">
        <v>1.54</v>
      </c>
      <c r="H27" s="75">
        <v>1.54</v>
      </c>
      <c r="I27" s="75">
        <v>1.56</v>
      </c>
      <c r="J27" s="195">
        <v>1.56</v>
      </c>
      <c r="K27" s="157">
        <v>26.1</v>
      </c>
      <c r="L27" s="156">
        <v>26.13</v>
      </c>
      <c r="M27" s="284"/>
      <c r="N27" s="283"/>
      <c r="O27" s="283"/>
      <c r="P27" s="267"/>
      <c r="Q27" s="282" t="s">
        <v>21</v>
      </c>
      <c r="R27" s="21">
        <v>109</v>
      </c>
      <c r="S27" s="36">
        <f t="shared" si="0"/>
        <v>13.242738906026084</v>
      </c>
      <c r="T27" s="19">
        <v>3</v>
      </c>
      <c r="V27" s="35">
        <f t="shared" si="5"/>
        <v>16</v>
      </c>
      <c r="W27" s="160">
        <f t="shared" si="1"/>
        <v>3.0000000000000027E-2</v>
      </c>
      <c r="X27" s="19">
        <f t="shared" si="2"/>
        <v>0</v>
      </c>
      <c r="Y27" s="19">
        <v>0</v>
      </c>
      <c r="Z27" s="18">
        <v>0</v>
      </c>
      <c r="AA27" s="19">
        <f t="shared" si="3"/>
        <v>0</v>
      </c>
    </row>
    <row r="28" spans="1:28" s="16" customFormat="1">
      <c r="A28">
        <v>17</v>
      </c>
      <c r="B28"/>
      <c r="C28" s="322">
        <v>204</v>
      </c>
      <c r="D28" s="87">
        <v>204</v>
      </c>
      <c r="E28" s="322">
        <v>1.52</v>
      </c>
      <c r="F28" s="96">
        <v>1.49</v>
      </c>
      <c r="G28" s="96">
        <v>1.54</v>
      </c>
      <c r="H28" s="96">
        <v>1.51</v>
      </c>
      <c r="I28" s="96">
        <v>1.55</v>
      </c>
      <c r="J28" s="96">
        <v>1.52</v>
      </c>
      <c r="K28" s="322">
        <v>26.56</v>
      </c>
      <c r="L28" s="96">
        <v>26.15</v>
      </c>
      <c r="M28" s="322" t="s">
        <v>20</v>
      </c>
      <c r="N28" s="87"/>
      <c r="O28" s="87"/>
      <c r="P28" s="87"/>
      <c r="Q28" s="325" t="s">
        <v>19</v>
      </c>
      <c r="R28" s="322">
        <v>109</v>
      </c>
      <c r="S28" s="331">
        <f t="shared" si="0"/>
        <v>13.323360614564335</v>
      </c>
      <c r="T28" s="280"/>
      <c r="V28" s="214">
        <f>A28</f>
        <v>17</v>
      </c>
      <c r="W28" s="332">
        <f t="shared" si="1"/>
        <v>6.0000000000000053E-2</v>
      </c>
      <c r="Y28" s="16">
        <f>SUM(Y12:Y27)</f>
        <v>0</v>
      </c>
      <c r="Z28" s="16">
        <f>SUM(Z12:Z27)</f>
        <v>0</v>
      </c>
      <c r="AA28" s="16">
        <f>SUM(AA12:AA27)</f>
        <v>0</v>
      </c>
    </row>
    <row r="29" spans="1:28">
      <c r="A29">
        <v>18</v>
      </c>
      <c r="B29"/>
      <c r="C29" s="322">
        <v>204</v>
      </c>
      <c r="D29" s="87">
        <v>204</v>
      </c>
      <c r="E29" s="322">
        <v>1.54</v>
      </c>
      <c r="F29" s="96">
        <v>1.52</v>
      </c>
      <c r="G29" s="96">
        <v>1.55</v>
      </c>
      <c r="H29" s="96">
        <v>1.57</v>
      </c>
      <c r="I29" s="96">
        <v>1.56</v>
      </c>
      <c r="J29" s="96">
        <v>1.55</v>
      </c>
      <c r="K29" s="322">
        <v>26.45</v>
      </c>
      <c r="L29" s="96">
        <v>26.09</v>
      </c>
      <c r="M29" s="322"/>
      <c r="N29" s="87"/>
      <c r="O29" s="87"/>
      <c r="P29" s="87"/>
      <c r="Q29" s="325" t="s">
        <v>21</v>
      </c>
      <c r="R29" s="322">
        <v>108.5</v>
      </c>
      <c r="S29" s="36">
        <f t="shared" si="0"/>
        <v>13.076003686926869</v>
      </c>
      <c r="T29" s="9"/>
      <c r="V29" s="35">
        <f t="shared" ref="V29:V32" si="6">A29</f>
        <v>18</v>
      </c>
      <c r="W29" s="160">
        <f t="shared" si="1"/>
        <v>5.0000000000000044E-2</v>
      </c>
    </row>
    <row r="30" spans="1:28">
      <c r="A30">
        <v>19</v>
      </c>
      <c r="B30"/>
      <c r="C30" s="322">
        <v>203</v>
      </c>
      <c r="D30" s="96">
        <v>203</v>
      </c>
      <c r="E30" s="322">
        <v>1.51</v>
      </c>
      <c r="F30" s="96">
        <v>1.52</v>
      </c>
      <c r="G30" s="96">
        <v>1.52</v>
      </c>
      <c r="H30" s="96">
        <v>1.54</v>
      </c>
      <c r="I30" s="96">
        <v>1.5</v>
      </c>
      <c r="J30" s="96">
        <v>1.51</v>
      </c>
      <c r="K30" s="322">
        <v>25.88</v>
      </c>
      <c r="L30" s="96">
        <v>26.33</v>
      </c>
      <c r="M30" s="322"/>
      <c r="N30" s="87" t="s">
        <v>22</v>
      </c>
      <c r="O30" s="87"/>
      <c r="P30" s="87"/>
      <c r="Q30" s="325" t="s">
        <v>19</v>
      </c>
      <c r="R30" s="322">
        <v>107</v>
      </c>
      <c r="S30" s="36">
        <f t="shared" si="0"/>
        <v>13.312937719205321</v>
      </c>
      <c r="V30" s="35">
        <f t="shared" si="6"/>
        <v>19</v>
      </c>
      <c r="W30" s="160">
        <f t="shared" si="1"/>
        <v>4.0000000000000036E-2</v>
      </c>
    </row>
    <row r="31" spans="1:28">
      <c r="A31">
        <v>20</v>
      </c>
      <c r="B31"/>
      <c r="C31" s="322">
        <v>204</v>
      </c>
      <c r="D31" s="96">
        <v>204</v>
      </c>
      <c r="E31" s="322">
        <v>1.49</v>
      </c>
      <c r="F31" s="96">
        <v>1.51</v>
      </c>
      <c r="G31" s="96">
        <v>1.52</v>
      </c>
      <c r="H31" s="96">
        <v>1.53</v>
      </c>
      <c r="I31" s="96">
        <v>1.48</v>
      </c>
      <c r="J31" s="96">
        <v>1.51</v>
      </c>
      <c r="K31" s="322">
        <v>25.52</v>
      </c>
      <c r="L31" s="96">
        <v>26.33</v>
      </c>
      <c r="M31" s="322"/>
      <c r="N31" s="87" t="s">
        <v>20</v>
      </c>
      <c r="O31" s="87" t="s">
        <v>22</v>
      </c>
      <c r="P31" s="87" t="s">
        <v>22</v>
      </c>
      <c r="Q31" s="325" t="s">
        <v>19</v>
      </c>
      <c r="R31" s="322">
        <v>106.4</v>
      </c>
      <c r="S31" s="36">
        <f t="shared" si="0"/>
        <v>13.352897503459959</v>
      </c>
      <c r="V31" s="35">
        <f t="shared" si="6"/>
        <v>20</v>
      </c>
      <c r="W31" s="160">
        <f t="shared" si="1"/>
        <v>5.0000000000000044E-2</v>
      </c>
    </row>
    <row r="32" spans="1:28">
      <c r="A32">
        <v>21</v>
      </c>
      <c r="B32" t="s">
        <v>189</v>
      </c>
      <c r="C32" s="322">
        <v>204</v>
      </c>
      <c r="D32" s="96">
        <v>204</v>
      </c>
      <c r="E32" s="322">
        <v>1.54</v>
      </c>
      <c r="F32" s="96">
        <v>1.55</v>
      </c>
      <c r="G32" s="96">
        <v>1.53</v>
      </c>
      <c r="H32" s="96">
        <v>1.56</v>
      </c>
      <c r="I32" s="96">
        <v>1.51</v>
      </c>
      <c r="J32" s="96">
        <v>1.53</v>
      </c>
      <c r="K32" s="322">
        <v>26.32</v>
      </c>
      <c r="L32" s="96">
        <v>26.45</v>
      </c>
      <c r="M32" s="322"/>
      <c r="N32" s="87"/>
      <c r="O32" s="87"/>
      <c r="P32" s="87" t="s">
        <v>22</v>
      </c>
      <c r="Q32" s="325" t="s">
        <v>19</v>
      </c>
      <c r="R32" s="322">
        <v>109.9</v>
      </c>
      <c r="S32" s="36">
        <f t="shared" si="0"/>
        <v>13.287116896088875</v>
      </c>
      <c r="V32" s="35">
        <f t="shared" si="6"/>
        <v>21</v>
      </c>
      <c r="W32" s="160">
        <f t="shared" si="1"/>
        <v>5.0000000000000044E-2</v>
      </c>
    </row>
    <row r="52" spans="1:20">
      <c r="A52" s="12" t="s">
        <v>17</v>
      </c>
      <c r="C52" s="1" t="s">
        <v>16</v>
      </c>
      <c r="E52" s="1" t="s">
        <v>15</v>
      </c>
      <c r="K52" s="1" t="s">
        <v>14</v>
      </c>
      <c r="R52" s="1" t="s">
        <v>13</v>
      </c>
      <c r="S52" s="1" t="s">
        <v>12</v>
      </c>
    </row>
    <row r="53" spans="1:20">
      <c r="A53" s="12"/>
    </row>
    <row r="54" spans="1:20">
      <c r="A54" s="1" t="s">
        <v>11</v>
      </c>
      <c r="C54" s="1">
        <f>8*25.4</f>
        <v>203.2</v>
      </c>
      <c r="E54" s="1">
        <f>C6</f>
        <v>1.5239999999999998</v>
      </c>
      <c r="K54" s="11">
        <v>25.4</v>
      </c>
    </row>
    <row r="55" spans="1:20">
      <c r="A55" s="1" t="s">
        <v>10</v>
      </c>
      <c r="C55" s="1">
        <f>MODE(C12:D32)</f>
        <v>204</v>
      </c>
      <c r="E55" s="1">
        <f>MODE(E12:J32)</f>
        <v>1.54</v>
      </c>
      <c r="K55" s="1">
        <f>MODE(K12:L32)</f>
        <v>26.15</v>
      </c>
      <c r="R55" s="1">
        <f>MODE(R12:R32)</f>
        <v>110.3</v>
      </c>
      <c r="S55" s="1" t="e">
        <f>MODE(S12:S32)</f>
        <v>#N/A</v>
      </c>
    </row>
    <row r="56" spans="1:20">
      <c r="A56" s="1" t="s">
        <v>9</v>
      </c>
      <c r="C56" s="10">
        <f>AVERAGE(C12:D32)</f>
        <v>203.95238095238096</v>
      </c>
      <c r="D56" s="10"/>
      <c r="E56" s="7">
        <f>AVERAGE(E12:J32)</f>
        <v>1.5382539682539687</v>
      </c>
      <c r="K56" s="6">
        <f>AVERAGE(K12:L32)</f>
        <v>26.219285714285714</v>
      </c>
      <c r="R56" s="9">
        <f>AVERAGE(R12:R32)</f>
        <v>109.05714285714285</v>
      </c>
      <c r="S56" s="9">
        <f>AVERAGE(S12:S32)</f>
        <v>13.257975204633798</v>
      </c>
      <c r="T56" s="9"/>
    </row>
    <row r="57" spans="1:20">
      <c r="A57" s="1" t="s">
        <v>8</v>
      </c>
      <c r="C57" s="1">
        <f>STDEV(C17:D32)</f>
        <v>0.24593468841898236</v>
      </c>
      <c r="E57" s="1">
        <f>STDEV(E12:J32)</f>
        <v>1.9019121539308403E-2</v>
      </c>
      <c r="K57" s="1">
        <f>STDEV(K12:L32)</f>
        <v>0.18631723349775736</v>
      </c>
      <c r="R57" s="1">
        <f>STDEV(R12:R32)</f>
        <v>1.3189281362422391</v>
      </c>
      <c r="S57" s="1">
        <f>STDEV(S12:S32)</f>
        <v>7.1813463893721396E-2</v>
      </c>
    </row>
    <row r="58" spans="1:20">
      <c r="A58" s="8" t="s">
        <v>7</v>
      </c>
      <c r="E58" s="7">
        <f>E56+E57</f>
        <v>1.5572730897932772</v>
      </c>
      <c r="K58" s="6">
        <f>K56+K57</f>
        <v>26.405602947783471</v>
      </c>
      <c r="R58" s="1">
        <f>R56+R57</f>
        <v>110.37607099338508</v>
      </c>
      <c r="S58" s="9">
        <f>S57+S56</f>
        <v>13.32978866852752</v>
      </c>
    </row>
    <row r="59" spans="1:20">
      <c r="A59" s="8" t="s">
        <v>6</v>
      </c>
      <c r="E59" s="7">
        <f>E56-E57</f>
        <v>1.5192348467146601</v>
      </c>
      <c r="K59" s="6">
        <f>K56-K57</f>
        <v>26.032968480787957</v>
      </c>
      <c r="R59" s="9">
        <f>R56-R57</f>
        <v>107.73821472090061</v>
      </c>
      <c r="S59" s="9">
        <f>S56-S57</f>
        <v>13.186161740740076</v>
      </c>
    </row>
    <row r="60" spans="1:20">
      <c r="A60" s="1" t="s">
        <v>72</v>
      </c>
      <c r="C60" s="6">
        <f>MAX(C12:D32)-C54</f>
        <v>0.80000000000001137</v>
      </c>
      <c r="E60" s="7">
        <f>MAX(E12:J32)-E54</f>
        <v>4.6000000000000263E-2</v>
      </c>
      <c r="K60" s="6">
        <f>MAX(K12:L32)-$K54</f>
        <v>1.1799999999999997</v>
      </c>
    </row>
    <row r="61" spans="1:20">
      <c r="A61" s="1" t="s">
        <v>71</v>
      </c>
      <c r="C61" s="6">
        <f>MIN(C12:D32)-C54</f>
        <v>-0.19999999999998863</v>
      </c>
      <c r="E61" s="7">
        <f>MIN(E12:J32)-E54</f>
        <v>-4.3999999999999817E-2</v>
      </c>
      <c r="K61" s="6">
        <f>MIN(K12:L32)-K54</f>
        <v>0.12000000000000099</v>
      </c>
    </row>
    <row r="62" spans="1:20" ht="15" thickBot="1">
      <c r="B62" s="6"/>
      <c r="C62" s="6"/>
      <c r="D62" s="6"/>
      <c r="E62" s="6"/>
      <c r="F62" s="6"/>
      <c r="G62" s="6"/>
    </row>
    <row r="63" spans="1:20">
      <c r="A63" s="1" t="s">
        <v>43</v>
      </c>
      <c r="B63" s="6"/>
      <c r="C63" s="5" t="s">
        <v>2</v>
      </c>
      <c r="D63" s="5" t="s">
        <v>1</v>
      </c>
      <c r="E63" s="6"/>
      <c r="F63" s="6"/>
      <c r="G63" s="6"/>
    </row>
    <row r="64" spans="1:20">
      <c r="A64" s="1">
        <v>1.48</v>
      </c>
      <c r="B64" s="6"/>
      <c r="C64" s="4">
        <v>1.48</v>
      </c>
      <c r="D64" s="3">
        <v>0</v>
      </c>
      <c r="E64" s="6"/>
      <c r="F64" s="6"/>
      <c r="G64" s="6"/>
    </row>
    <row r="65" spans="1:10">
      <c r="A65" s="1">
        <v>1.49</v>
      </c>
      <c r="B65" s="6"/>
      <c r="C65" s="4">
        <v>1.49</v>
      </c>
      <c r="D65" s="3">
        <v>1</v>
      </c>
      <c r="E65" s="6"/>
      <c r="F65" s="6"/>
      <c r="G65" s="6"/>
    </row>
    <row r="66" spans="1:10">
      <c r="A66" s="1">
        <f t="shared" ref="A66:A74" si="7">A65+0.01</f>
        <v>1.5</v>
      </c>
      <c r="B66" s="6"/>
      <c r="C66" s="4">
        <v>1.5</v>
      </c>
      <c r="D66" s="3">
        <v>1</v>
      </c>
      <c r="E66" s="6"/>
      <c r="F66" s="6"/>
      <c r="G66" s="6"/>
    </row>
    <row r="67" spans="1:10">
      <c r="A67" s="1">
        <f t="shared" si="7"/>
        <v>1.51</v>
      </c>
      <c r="B67" s="6"/>
      <c r="C67" s="4">
        <v>1.51</v>
      </c>
      <c r="D67" s="3">
        <v>5</v>
      </c>
      <c r="E67" s="6"/>
      <c r="F67" s="6"/>
      <c r="G67" s="6"/>
    </row>
    <row r="68" spans="1:10">
      <c r="A68" s="1">
        <f t="shared" si="7"/>
        <v>1.52</v>
      </c>
      <c r="B68" s="6"/>
      <c r="C68" s="4">
        <v>1.52</v>
      </c>
      <c r="D68" s="3">
        <v>5</v>
      </c>
      <c r="E68" s="6"/>
      <c r="F68" s="6"/>
      <c r="G68" s="6"/>
    </row>
    <row r="69" spans="1:10">
      <c r="A69" s="1">
        <f t="shared" si="7"/>
        <v>1.53</v>
      </c>
      <c r="B69" s="6"/>
      <c r="C69" s="4">
        <v>1.53</v>
      </c>
      <c r="D69" s="3">
        <v>15</v>
      </c>
      <c r="E69" s="6"/>
      <c r="F69" s="6"/>
      <c r="G69" s="6"/>
    </row>
    <row r="70" spans="1:10">
      <c r="A70" s="1">
        <f t="shared" si="7"/>
        <v>1.54</v>
      </c>
      <c r="B70" s="6"/>
      <c r="C70" s="4">
        <v>1.54</v>
      </c>
      <c r="D70" s="3">
        <v>26</v>
      </c>
      <c r="E70" s="6"/>
      <c r="F70" s="6"/>
      <c r="G70" s="6"/>
    </row>
    <row r="71" spans="1:10">
      <c r="A71" s="1">
        <f t="shared" si="7"/>
        <v>1.55</v>
      </c>
      <c r="B71" s="6"/>
      <c r="C71" s="4">
        <v>1.55</v>
      </c>
      <c r="D71" s="3">
        <v>22</v>
      </c>
      <c r="E71" s="6"/>
      <c r="F71" s="6"/>
      <c r="G71" s="6"/>
    </row>
    <row r="72" spans="1:10">
      <c r="A72" s="1">
        <f t="shared" si="7"/>
        <v>1.56</v>
      </c>
      <c r="B72" s="6"/>
      <c r="C72" s="4">
        <v>1.56</v>
      </c>
      <c r="D72" s="3">
        <v>16</v>
      </c>
      <c r="E72" s="6"/>
      <c r="F72" s="6"/>
      <c r="G72" s="6"/>
    </row>
    <row r="73" spans="1:10">
      <c r="A73" s="1">
        <f t="shared" si="7"/>
        <v>1.57</v>
      </c>
      <c r="B73" s="6"/>
      <c r="C73" s="4">
        <v>1.57</v>
      </c>
      <c r="D73" s="3">
        <v>5</v>
      </c>
      <c r="E73" s="6"/>
      <c r="F73" s="6"/>
      <c r="G73" s="6"/>
    </row>
    <row r="74" spans="1:10">
      <c r="A74" s="1">
        <f t="shared" si="7"/>
        <v>1.58</v>
      </c>
      <c r="B74" s="6"/>
      <c r="C74" s="4">
        <v>1.58</v>
      </c>
      <c r="D74" s="3">
        <v>0</v>
      </c>
      <c r="E74" s="6"/>
      <c r="F74" s="6"/>
      <c r="G74" s="6"/>
    </row>
    <row r="75" spans="1:10" ht="15" thickBot="1">
      <c r="B75" s="6"/>
      <c r="C75" s="2" t="s">
        <v>0</v>
      </c>
      <c r="D75" s="2">
        <v>0</v>
      </c>
      <c r="E75" s="6"/>
      <c r="F75" s="6"/>
      <c r="G75" s="6"/>
    </row>
    <row r="76" spans="1:10">
      <c r="B76" s="6"/>
      <c r="C76" s="6"/>
      <c r="D76" s="6"/>
      <c r="E76" s="6"/>
      <c r="F76" s="6"/>
      <c r="G76" s="6"/>
    </row>
    <row r="77" spans="1:10">
      <c r="B77" s="6"/>
      <c r="C77" s="6"/>
      <c r="D77" s="6"/>
      <c r="E77" s="6"/>
      <c r="F77" s="6"/>
      <c r="G77" s="6"/>
    </row>
    <row r="78" spans="1:10">
      <c r="C78" s="6"/>
      <c r="D78" s="6"/>
      <c r="E78" s="6"/>
      <c r="F78" s="6"/>
      <c r="G78" s="6"/>
      <c r="H78" s="6"/>
      <c r="I78" s="6"/>
      <c r="J78" s="6"/>
    </row>
  </sheetData>
  <mergeCells count="4">
    <mergeCell ref="C9:D9"/>
    <mergeCell ref="E9:I9"/>
    <mergeCell ref="K9:L9"/>
    <mergeCell ref="M9:P9"/>
  </mergeCells>
  <pageMargins left="0.25" right="0.25" top="0.25" bottom="0.25" header="0.3" footer="0.3"/>
  <pageSetup orientation="landscape"/>
  <ignoredErrors>
    <ignoredError sqref="W27" formulaRange="1"/>
  </ignoredError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2"/>
  <sheetViews>
    <sheetView zoomScale="70" zoomScaleNormal="70" zoomScalePageLayoutView="70" workbookViewId="0">
      <selection activeCell="AC32" sqref="AC32"/>
    </sheetView>
  </sheetViews>
  <sheetFormatPr baseColWidth="10" defaultColWidth="8.83203125" defaultRowHeight="14" x14ac:dyDescent="0"/>
  <cols>
    <col min="1" max="1" width="6.33203125" style="1" customWidth="1"/>
    <col min="2" max="2" width="16.1640625" style="1" customWidth="1"/>
    <col min="3" max="4" width="5.1640625" style="1" customWidth="1"/>
    <col min="5" max="9" width="6.83203125" style="1" customWidth="1"/>
    <col min="10" max="10" width="6.83203125" style="1" bestFit="1" customWidth="1"/>
    <col min="11" max="12" width="6.83203125" style="1" customWidth="1"/>
    <col min="13" max="16" width="3.6640625" style="1" customWidth="1"/>
    <col min="17" max="17" width="6.83203125" style="1" customWidth="1"/>
    <col min="18" max="18" width="6.5" style="1" customWidth="1"/>
    <col min="19" max="19" width="6.1640625" style="1" customWidth="1"/>
    <col min="20" max="20" width="9.83203125" style="1" customWidth="1"/>
    <col min="21" max="16384" width="8.83203125" style="1"/>
  </cols>
  <sheetData>
    <row r="1" spans="1:27">
      <c r="A1" s="1" t="s">
        <v>49</v>
      </c>
      <c r="B1" s="79"/>
    </row>
    <row r="2" spans="1:27">
      <c r="A2" s="1" t="s">
        <v>48</v>
      </c>
      <c r="B2" s="79"/>
    </row>
    <row r="3" spans="1:27">
      <c r="A3" s="1" t="s">
        <v>47</v>
      </c>
      <c r="B3" s="79"/>
    </row>
    <row r="4" spans="1:27">
      <c r="B4" s="79"/>
    </row>
    <row r="5" spans="1:27">
      <c r="B5" s="1" t="s">
        <v>46</v>
      </c>
      <c r="C5" s="1" t="s">
        <v>45</v>
      </c>
    </row>
    <row r="6" spans="1:27">
      <c r="A6" s="1" t="s">
        <v>99</v>
      </c>
      <c r="B6" s="79">
        <v>0.08</v>
      </c>
      <c r="C6" s="79">
        <f>B6*25.4</f>
        <v>2.032</v>
      </c>
      <c r="D6" s="79"/>
      <c r="E6" s="80"/>
      <c r="F6" s="80"/>
      <c r="G6" s="80"/>
      <c r="H6" s="80"/>
      <c r="I6" s="80"/>
      <c r="J6" s="80"/>
      <c r="K6" s="80"/>
      <c r="L6" s="80"/>
      <c r="M6" s="79"/>
      <c r="N6" s="79"/>
      <c r="O6" s="79"/>
      <c r="P6" s="79"/>
      <c r="Q6" s="79"/>
      <c r="R6" s="79"/>
      <c r="S6" s="79"/>
      <c r="T6" s="79"/>
    </row>
    <row r="7" spans="1:27">
      <c r="B7" s="79"/>
      <c r="C7" s="79"/>
      <c r="D7" s="79"/>
      <c r="E7" s="80"/>
      <c r="F7" s="80"/>
      <c r="G7" s="80"/>
      <c r="H7" s="80"/>
      <c r="I7" s="80"/>
      <c r="J7" s="80"/>
      <c r="K7" s="80"/>
      <c r="L7" s="80"/>
      <c r="M7" s="79"/>
      <c r="N7" s="79"/>
      <c r="O7" s="79"/>
      <c r="P7" s="79"/>
      <c r="Q7" s="79"/>
      <c r="R7" s="79"/>
      <c r="S7" s="79"/>
      <c r="T7" s="79"/>
    </row>
    <row r="8" spans="1:27">
      <c r="A8" s="1" t="s">
        <v>54</v>
      </c>
      <c r="B8" s="79"/>
      <c r="C8" s="79"/>
      <c r="D8" s="79"/>
      <c r="E8" s="80"/>
      <c r="F8" s="80"/>
      <c r="G8" s="80"/>
      <c r="H8" s="80"/>
      <c r="I8" s="80"/>
      <c r="J8" s="80"/>
      <c r="K8" s="80"/>
      <c r="L8" s="80"/>
      <c r="M8" s="79"/>
      <c r="N8" s="79"/>
      <c r="O8" s="79"/>
      <c r="P8" s="79"/>
      <c r="Q8" s="79"/>
      <c r="R8" s="79"/>
      <c r="S8" s="79"/>
      <c r="T8" s="79"/>
      <c r="W8" s="221" t="s">
        <v>42</v>
      </c>
      <c r="Y8" s="221"/>
    </row>
    <row r="9" spans="1:27" ht="42">
      <c r="A9" s="71" t="s">
        <v>32</v>
      </c>
      <c r="B9" s="76" t="s">
        <v>41</v>
      </c>
      <c r="C9" s="386" t="s">
        <v>40</v>
      </c>
      <c r="D9" s="387"/>
      <c r="E9" s="385" t="s">
        <v>39</v>
      </c>
      <c r="F9" s="385"/>
      <c r="G9" s="385"/>
      <c r="H9" s="385"/>
      <c r="I9" s="385"/>
      <c r="J9" s="75"/>
      <c r="K9" s="386" t="s">
        <v>38</v>
      </c>
      <c r="L9" s="387"/>
      <c r="M9" s="386" t="s">
        <v>37</v>
      </c>
      <c r="N9" s="384"/>
      <c r="O9" s="384"/>
      <c r="P9" s="384"/>
      <c r="Q9" s="74" t="s">
        <v>36</v>
      </c>
      <c r="R9" s="204" t="s">
        <v>70</v>
      </c>
      <c r="S9" s="203" t="s">
        <v>69</v>
      </c>
      <c r="T9" s="19" t="s">
        <v>33</v>
      </c>
      <c r="V9" s="19" t="s">
        <v>32</v>
      </c>
      <c r="W9" s="253" t="s">
        <v>58</v>
      </c>
      <c r="X9" s="69" t="s">
        <v>31</v>
      </c>
      <c r="Y9" s="68" t="s">
        <v>30</v>
      </c>
      <c r="Z9" s="19" t="s">
        <v>29</v>
      </c>
      <c r="AA9" s="67" t="s">
        <v>51</v>
      </c>
    </row>
    <row r="10" spans="1:27" s="10" customFormat="1">
      <c r="A10" s="16"/>
      <c r="B10" s="217"/>
      <c r="C10" s="219">
        <v>1</v>
      </c>
      <c r="D10" s="217">
        <v>2</v>
      </c>
      <c r="E10" s="219">
        <v>1</v>
      </c>
      <c r="F10" s="218">
        <v>2</v>
      </c>
      <c r="G10" s="218">
        <v>3</v>
      </c>
      <c r="H10" s="218">
        <v>4</v>
      </c>
      <c r="I10" s="218">
        <v>5</v>
      </c>
      <c r="J10" s="217">
        <v>6</v>
      </c>
      <c r="K10" s="219">
        <v>1</v>
      </c>
      <c r="L10" s="217">
        <v>2</v>
      </c>
      <c r="M10" s="219">
        <v>1</v>
      </c>
      <c r="N10" s="218">
        <v>2</v>
      </c>
      <c r="O10" s="218">
        <v>3</v>
      </c>
      <c r="P10" s="218">
        <v>4</v>
      </c>
      <c r="Q10" s="217"/>
      <c r="R10" s="216"/>
      <c r="S10" s="215"/>
      <c r="T10" s="35"/>
      <c r="V10" s="214"/>
      <c r="W10" s="35"/>
      <c r="X10" s="52"/>
      <c r="Y10" s="59"/>
      <c r="Z10" s="59"/>
      <c r="AA10" s="59"/>
    </row>
    <row r="11" spans="1:27">
      <c r="A11" s="12"/>
      <c r="B11" s="187"/>
      <c r="C11" s="177"/>
      <c r="D11" s="187"/>
      <c r="E11" s="122"/>
      <c r="F11" s="47"/>
      <c r="G11" s="47"/>
      <c r="H11" s="47"/>
      <c r="I11" s="47"/>
      <c r="J11" s="121"/>
      <c r="K11" s="122"/>
      <c r="L11" s="121"/>
      <c r="M11" s="177"/>
      <c r="N11" s="55"/>
      <c r="O11" s="55"/>
      <c r="P11" s="55"/>
      <c r="Q11" s="187"/>
      <c r="R11" s="56"/>
      <c r="S11" s="54"/>
      <c r="T11" s="35"/>
      <c r="V11" s="35"/>
      <c r="W11" s="35"/>
      <c r="X11" s="52"/>
      <c r="Y11" s="35"/>
      <c r="Z11" s="35"/>
      <c r="AA11" s="35"/>
    </row>
    <row r="12" spans="1:27" s="292" customFormat="1" ht="15" customHeight="1">
      <c r="A12" s="294">
        <v>0</v>
      </c>
      <c r="B12" s="123"/>
      <c r="C12" s="41">
        <v>203</v>
      </c>
      <c r="D12" s="123">
        <v>204</v>
      </c>
      <c r="E12" s="166">
        <v>2.0499999999999998</v>
      </c>
      <c r="F12" s="11">
        <v>2.0299999999999998</v>
      </c>
      <c r="G12" s="11">
        <v>2.1</v>
      </c>
      <c r="H12" s="11">
        <v>2.0499999999999998</v>
      </c>
      <c r="I12" s="199">
        <v>1.97</v>
      </c>
      <c r="J12" s="165">
        <v>1.96</v>
      </c>
      <c r="K12" s="166">
        <v>27.56</v>
      </c>
      <c r="L12" s="165">
        <v>26.47</v>
      </c>
      <c r="M12" s="276"/>
      <c r="N12" s="275"/>
      <c r="O12" s="275"/>
      <c r="P12" s="271"/>
      <c r="Q12" s="274" t="s">
        <v>21</v>
      </c>
      <c r="R12" s="277">
        <v>138</v>
      </c>
      <c r="S12" s="36">
        <f t="shared" ref="S12:S27" si="0">R12/(AVERAGE(C12:D12)*AVERAGE(E12:J12)*AVERAGE(K12:L12)*0.001)</f>
        <v>12.385894498171304</v>
      </c>
      <c r="T12" s="289">
        <v>1</v>
      </c>
      <c r="V12" s="293">
        <v>0</v>
      </c>
      <c r="W12" s="265">
        <f t="shared" ref="W12:W27" si="1">MAX(E12:J12)-MIN(E12:J12)</f>
        <v>0.14000000000000012</v>
      </c>
      <c r="X12" s="35">
        <f t="shared" ref="X12:X27" si="2">IF(OR(ABS(E12-$C$6)&gt;($C$6*0.1),ABS(F12-$C$6)&gt;($C$6*0.1),ABS(G12-$C$6)&gt;($C$6*0.1),ABS(H12-$C$6)&gt;($C$6*0.1),ABS(I12-$C$6)&gt;($C$6*0.1),ABS(J12-$C$6)&gt;($C$6*0.1)),1,0)</f>
        <v>0</v>
      </c>
      <c r="Y12" s="35">
        <v>1</v>
      </c>
      <c r="Z12" s="34">
        <v>0</v>
      </c>
      <c r="AA12" s="289">
        <f t="shared" ref="AA12:AA27" si="3">IF(OR(M12="Y",N12="Y",O12="Y",P12="Y"),1,0)</f>
        <v>0</v>
      </c>
    </row>
    <row r="13" spans="1:27">
      <c r="A13" s="12">
        <v>1</v>
      </c>
      <c r="B13" s="187"/>
      <c r="C13" s="41">
        <v>204</v>
      </c>
      <c r="D13" s="182">
        <v>204</v>
      </c>
      <c r="E13" s="122">
        <v>1.94</v>
      </c>
      <c r="F13" s="47">
        <v>1.97</v>
      </c>
      <c r="G13" s="47">
        <v>1.94</v>
      </c>
      <c r="H13" s="47">
        <v>1.95</v>
      </c>
      <c r="I13" s="47">
        <v>1.93</v>
      </c>
      <c r="J13" s="121">
        <v>1.95</v>
      </c>
      <c r="K13" s="166">
        <v>26.36</v>
      </c>
      <c r="L13" s="165">
        <v>26.35</v>
      </c>
      <c r="M13" s="276"/>
      <c r="N13" s="275"/>
      <c r="O13" s="275"/>
      <c r="P13" s="271"/>
      <c r="Q13" s="274" t="s">
        <v>21</v>
      </c>
      <c r="R13" s="56">
        <v>132.19999999999999</v>
      </c>
      <c r="S13" s="36">
        <f t="shared" si="0"/>
        <v>12.631260002773145</v>
      </c>
      <c r="T13" s="35">
        <v>3</v>
      </c>
      <c r="V13" s="35">
        <v>1</v>
      </c>
      <c r="W13" s="265">
        <f t="shared" si="1"/>
        <v>4.0000000000000036E-2</v>
      </c>
      <c r="X13" s="35">
        <f t="shared" si="2"/>
        <v>0</v>
      </c>
      <c r="Y13" s="35">
        <v>0</v>
      </c>
      <c r="Z13" s="34">
        <v>0</v>
      </c>
      <c r="AA13" s="289">
        <f t="shared" si="3"/>
        <v>0</v>
      </c>
    </row>
    <row r="14" spans="1:27">
      <c r="A14" s="12">
        <f t="shared" ref="A14:A27" si="4">A13+1</f>
        <v>2</v>
      </c>
      <c r="B14" s="187"/>
      <c r="C14" s="41">
        <v>204</v>
      </c>
      <c r="D14" s="182">
        <v>204</v>
      </c>
      <c r="E14" s="122">
        <v>2</v>
      </c>
      <c r="F14" s="47">
        <v>2</v>
      </c>
      <c r="G14" s="47">
        <v>2</v>
      </c>
      <c r="H14" s="47">
        <v>2</v>
      </c>
      <c r="I14" s="47">
        <v>2</v>
      </c>
      <c r="J14" s="121">
        <v>2</v>
      </c>
      <c r="K14" s="166">
        <v>26.3</v>
      </c>
      <c r="L14" s="165">
        <v>26.26</v>
      </c>
      <c r="M14" s="276"/>
      <c r="N14" s="275"/>
      <c r="O14" s="275"/>
      <c r="P14" s="271"/>
      <c r="Q14" s="274" t="s">
        <v>21</v>
      </c>
      <c r="R14" s="56">
        <v>136.5</v>
      </c>
      <c r="S14" s="36">
        <f t="shared" si="0"/>
        <v>12.730548840540783</v>
      </c>
      <c r="T14" s="35">
        <v>3</v>
      </c>
      <c r="V14" s="35">
        <f t="shared" ref="V14:V27" si="5">V13+1</f>
        <v>2</v>
      </c>
      <c r="W14" s="265">
        <f t="shared" si="1"/>
        <v>0</v>
      </c>
      <c r="X14" s="35">
        <f t="shared" si="2"/>
        <v>0</v>
      </c>
      <c r="Y14" s="35">
        <v>0</v>
      </c>
      <c r="Z14" s="34">
        <v>0</v>
      </c>
      <c r="AA14" s="289">
        <f t="shared" si="3"/>
        <v>0</v>
      </c>
    </row>
    <row r="15" spans="1:27">
      <c r="A15" s="12">
        <f t="shared" si="4"/>
        <v>3</v>
      </c>
      <c r="B15" s="187"/>
      <c r="C15" s="291">
        <v>204</v>
      </c>
      <c r="D15" s="290">
        <v>204</v>
      </c>
      <c r="E15" s="122">
        <v>1.96</v>
      </c>
      <c r="F15" s="47">
        <v>1.96</v>
      </c>
      <c r="G15" s="47">
        <v>1.96</v>
      </c>
      <c r="H15" s="47">
        <v>1.97</v>
      </c>
      <c r="I15" s="47">
        <v>1.97</v>
      </c>
      <c r="J15" s="121">
        <v>1.98</v>
      </c>
      <c r="K15" s="166">
        <v>26.53</v>
      </c>
      <c r="L15" s="165">
        <v>26.42</v>
      </c>
      <c r="M15" s="276"/>
      <c r="N15" s="275"/>
      <c r="O15" s="275"/>
      <c r="P15" s="271"/>
      <c r="Q15" s="274" t="s">
        <v>19</v>
      </c>
      <c r="R15" s="56">
        <v>135.69999999999999</v>
      </c>
      <c r="S15" s="36">
        <f t="shared" si="0"/>
        <v>12.775648503027268</v>
      </c>
      <c r="T15" s="35">
        <v>3</v>
      </c>
      <c r="V15" s="35">
        <f t="shared" si="5"/>
        <v>3</v>
      </c>
      <c r="W15" s="265">
        <f t="shared" si="1"/>
        <v>2.0000000000000018E-2</v>
      </c>
      <c r="X15" s="35">
        <f t="shared" si="2"/>
        <v>0</v>
      </c>
      <c r="Y15" s="35">
        <v>0</v>
      </c>
      <c r="Z15" s="34">
        <v>0</v>
      </c>
      <c r="AA15" s="289">
        <f t="shared" si="3"/>
        <v>0</v>
      </c>
    </row>
    <row r="16" spans="1:27">
      <c r="A16" s="12">
        <f t="shared" si="4"/>
        <v>4</v>
      </c>
      <c r="B16" s="187"/>
      <c r="C16" s="291">
        <v>204</v>
      </c>
      <c r="D16" s="290">
        <v>204</v>
      </c>
      <c r="E16" s="122">
        <v>1.94</v>
      </c>
      <c r="F16" s="47">
        <v>1.96</v>
      </c>
      <c r="G16" s="47">
        <v>1.93</v>
      </c>
      <c r="H16" s="47">
        <v>1.95</v>
      </c>
      <c r="I16" s="47">
        <v>1.95</v>
      </c>
      <c r="J16" s="121">
        <v>1.97</v>
      </c>
      <c r="K16" s="166">
        <v>26.5</v>
      </c>
      <c r="L16" s="165">
        <v>26.36</v>
      </c>
      <c r="M16" s="276"/>
      <c r="N16" s="275" t="s">
        <v>22</v>
      </c>
      <c r="O16" s="275"/>
      <c r="P16" s="271"/>
      <c r="Q16" s="274" t="s">
        <v>21</v>
      </c>
      <c r="R16" s="56">
        <v>133.69999999999999</v>
      </c>
      <c r="S16" s="36">
        <f t="shared" si="0"/>
        <v>12.716554747669122</v>
      </c>
      <c r="T16" s="35">
        <v>3</v>
      </c>
      <c r="V16" s="35">
        <f t="shared" si="5"/>
        <v>4</v>
      </c>
      <c r="W16" s="265">
        <f t="shared" si="1"/>
        <v>4.0000000000000036E-2</v>
      </c>
      <c r="X16" s="35">
        <f t="shared" si="2"/>
        <v>0</v>
      </c>
      <c r="Y16" s="35">
        <v>0</v>
      </c>
      <c r="Z16" s="34">
        <v>0</v>
      </c>
      <c r="AA16" s="289">
        <f t="shared" si="3"/>
        <v>1</v>
      </c>
    </row>
    <row r="17" spans="1:27">
      <c r="A17" s="12">
        <f t="shared" si="4"/>
        <v>5</v>
      </c>
      <c r="B17" s="187"/>
      <c r="C17" s="291">
        <v>204</v>
      </c>
      <c r="D17" s="290">
        <v>204</v>
      </c>
      <c r="E17" s="122">
        <v>1.95</v>
      </c>
      <c r="F17" s="47">
        <v>1.95</v>
      </c>
      <c r="G17" s="47">
        <v>1.96</v>
      </c>
      <c r="H17" s="47">
        <v>1.97</v>
      </c>
      <c r="I17" s="47">
        <v>1.96</v>
      </c>
      <c r="J17" s="121">
        <v>1.97</v>
      </c>
      <c r="K17" s="166">
        <v>26.47</v>
      </c>
      <c r="L17" s="165">
        <v>26.23</v>
      </c>
      <c r="M17" s="276"/>
      <c r="N17" s="275"/>
      <c r="O17" s="275"/>
      <c r="P17" s="271"/>
      <c r="Q17" s="274" t="s">
        <v>19</v>
      </c>
      <c r="R17" s="56">
        <v>132.6</v>
      </c>
      <c r="S17" s="36">
        <f t="shared" si="0"/>
        <v>12.585679433063548</v>
      </c>
      <c r="T17" s="35">
        <v>3</v>
      </c>
      <c r="V17" s="35">
        <f t="shared" si="5"/>
        <v>5</v>
      </c>
      <c r="W17" s="265">
        <f t="shared" si="1"/>
        <v>2.0000000000000018E-2</v>
      </c>
      <c r="X17" s="35">
        <f t="shared" si="2"/>
        <v>0</v>
      </c>
      <c r="Y17" s="35">
        <v>0</v>
      </c>
      <c r="Z17" s="34">
        <v>0</v>
      </c>
      <c r="AA17" s="289">
        <f t="shared" si="3"/>
        <v>0</v>
      </c>
    </row>
    <row r="18" spans="1:27">
      <c r="A18" s="12">
        <f t="shared" si="4"/>
        <v>6</v>
      </c>
      <c r="B18" s="187"/>
      <c r="C18" s="291">
        <v>204</v>
      </c>
      <c r="D18" s="290">
        <v>204</v>
      </c>
      <c r="E18" s="122">
        <v>1.98</v>
      </c>
      <c r="F18" s="47">
        <v>1.98</v>
      </c>
      <c r="G18" s="47">
        <v>1.99</v>
      </c>
      <c r="H18" s="47">
        <v>1.98</v>
      </c>
      <c r="I18" s="47">
        <v>2</v>
      </c>
      <c r="J18" s="121">
        <v>1.99</v>
      </c>
      <c r="K18" s="166">
        <v>26.44</v>
      </c>
      <c r="L18" s="165">
        <v>26.5</v>
      </c>
      <c r="M18" s="276"/>
      <c r="N18" s="275"/>
      <c r="O18" s="275"/>
      <c r="P18" s="271"/>
      <c r="Q18" s="274" t="s">
        <v>21</v>
      </c>
      <c r="R18" s="56">
        <v>136.6</v>
      </c>
      <c r="S18" s="36">
        <f t="shared" si="0"/>
        <v>12.733318011093761</v>
      </c>
      <c r="T18" s="35">
        <v>3</v>
      </c>
      <c r="V18" s="35">
        <f t="shared" si="5"/>
        <v>6</v>
      </c>
      <c r="W18" s="265">
        <f t="shared" si="1"/>
        <v>2.0000000000000018E-2</v>
      </c>
      <c r="X18" s="35">
        <f t="shared" si="2"/>
        <v>0</v>
      </c>
      <c r="Y18" s="35">
        <v>0</v>
      </c>
      <c r="Z18" s="34">
        <v>0</v>
      </c>
      <c r="AA18" s="289">
        <f t="shared" si="3"/>
        <v>0</v>
      </c>
    </row>
    <row r="19" spans="1:27">
      <c r="A19" s="12">
        <f t="shared" si="4"/>
        <v>7</v>
      </c>
      <c r="B19" s="187"/>
      <c r="C19" s="291">
        <v>204</v>
      </c>
      <c r="D19" s="290">
        <v>204</v>
      </c>
      <c r="E19" s="122">
        <v>2.0299999999999998</v>
      </c>
      <c r="F19" s="47">
        <v>2.0299999999999998</v>
      </c>
      <c r="G19" s="47">
        <v>2.0299999999999998</v>
      </c>
      <c r="H19" s="47">
        <v>2.04</v>
      </c>
      <c r="I19" s="47">
        <v>2.04</v>
      </c>
      <c r="J19" s="121">
        <v>2.0499999999999998</v>
      </c>
      <c r="K19" s="166">
        <v>26.55</v>
      </c>
      <c r="L19" s="165">
        <v>26.96</v>
      </c>
      <c r="M19" s="276"/>
      <c r="N19" s="275"/>
      <c r="O19" s="275"/>
      <c r="P19" s="271"/>
      <c r="Q19" s="274" t="s">
        <v>21</v>
      </c>
      <c r="R19" s="56">
        <v>141.30000000000001</v>
      </c>
      <c r="S19" s="36">
        <f t="shared" si="0"/>
        <v>12.711215557980891</v>
      </c>
      <c r="T19" s="35">
        <v>3</v>
      </c>
      <c r="V19" s="35">
        <f t="shared" si="5"/>
        <v>7</v>
      </c>
      <c r="W19" s="265">
        <f t="shared" si="1"/>
        <v>2.0000000000000018E-2</v>
      </c>
      <c r="X19" s="35">
        <f t="shared" si="2"/>
        <v>0</v>
      </c>
      <c r="Y19" s="35">
        <v>0</v>
      </c>
      <c r="Z19" s="34">
        <v>0</v>
      </c>
      <c r="AA19" s="289">
        <f t="shared" si="3"/>
        <v>0</v>
      </c>
    </row>
    <row r="20" spans="1:27">
      <c r="A20" s="12">
        <f t="shared" si="4"/>
        <v>8</v>
      </c>
      <c r="B20" s="187"/>
      <c r="C20" s="291">
        <v>204</v>
      </c>
      <c r="D20" s="290">
        <v>204</v>
      </c>
      <c r="E20" s="122">
        <v>1.99</v>
      </c>
      <c r="F20" s="47">
        <v>1.98</v>
      </c>
      <c r="G20" s="47">
        <v>1.98</v>
      </c>
      <c r="H20" s="47">
        <v>1.99</v>
      </c>
      <c r="I20" s="47">
        <v>2</v>
      </c>
      <c r="J20" s="121">
        <v>2</v>
      </c>
      <c r="K20" s="166">
        <v>26.5</v>
      </c>
      <c r="L20" s="165">
        <v>26.27</v>
      </c>
      <c r="M20" s="276"/>
      <c r="N20" s="275"/>
      <c r="O20" s="275" t="s">
        <v>20</v>
      </c>
      <c r="P20" s="271"/>
      <c r="Q20" s="274" t="s">
        <v>21</v>
      </c>
      <c r="R20" s="56">
        <v>135.5</v>
      </c>
      <c r="S20" s="36">
        <f t="shared" si="0"/>
        <v>12.650245471711598</v>
      </c>
      <c r="T20" s="35">
        <v>3</v>
      </c>
      <c r="V20" s="35">
        <f t="shared" si="5"/>
        <v>8</v>
      </c>
      <c r="W20" s="265">
        <f t="shared" si="1"/>
        <v>2.0000000000000018E-2</v>
      </c>
      <c r="X20" s="35">
        <f t="shared" si="2"/>
        <v>0</v>
      </c>
      <c r="Y20" s="35">
        <v>0</v>
      </c>
      <c r="Z20" s="34">
        <v>0</v>
      </c>
      <c r="AA20" s="289">
        <f t="shared" si="3"/>
        <v>0</v>
      </c>
    </row>
    <row r="21" spans="1:27">
      <c r="A21" s="12">
        <f t="shared" si="4"/>
        <v>9</v>
      </c>
      <c r="B21" s="187"/>
      <c r="C21" s="291">
        <v>204</v>
      </c>
      <c r="D21" s="290">
        <v>204</v>
      </c>
      <c r="E21" s="122">
        <v>1.99</v>
      </c>
      <c r="F21" s="47">
        <v>2</v>
      </c>
      <c r="G21" s="47">
        <v>2</v>
      </c>
      <c r="H21" s="47">
        <v>2</v>
      </c>
      <c r="I21" s="47">
        <v>1.99</v>
      </c>
      <c r="J21" s="121">
        <v>2</v>
      </c>
      <c r="K21" s="166">
        <v>26.27</v>
      </c>
      <c r="L21" s="165">
        <v>26.17</v>
      </c>
      <c r="M21" s="276"/>
      <c r="N21" s="275"/>
      <c r="O21" s="275"/>
      <c r="P21" s="271"/>
      <c r="Q21" s="274" t="s">
        <v>21</v>
      </c>
      <c r="R21" s="56">
        <v>136.19999999999999</v>
      </c>
      <c r="S21" s="36">
        <f t="shared" si="0"/>
        <v>12.752892097499059</v>
      </c>
      <c r="T21" s="35">
        <v>3</v>
      </c>
      <c r="V21" s="35">
        <f t="shared" si="5"/>
        <v>9</v>
      </c>
      <c r="W21" s="265">
        <f t="shared" si="1"/>
        <v>1.0000000000000009E-2</v>
      </c>
      <c r="X21" s="35">
        <f t="shared" si="2"/>
        <v>0</v>
      </c>
      <c r="Y21" s="35">
        <v>0</v>
      </c>
      <c r="Z21" s="34">
        <v>0</v>
      </c>
      <c r="AA21" s="289">
        <f t="shared" si="3"/>
        <v>0</v>
      </c>
    </row>
    <row r="22" spans="1:27">
      <c r="A22" s="12">
        <f t="shared" si="4"/>
        <v>10</v>
      </c>
      <c r="B22" s="187"/>
      <c r="C22" s="291">
        <v>204</v>
      </c>
      <c r="D22" s="290">
        <v>204</v>
      </c>
      <c r="E22" s="122">
        <v>2.0299999999999998</v>
      </c>
      <c r="F22" s="47">
        <v>2.0299999999999998</v>
      </c>
      <c r="G22" s="47">
        <v>2.02</v>
      </c>
      <c r="H22" s="47">
        <v>2.0099999999999998</v>
      </c>
      <c r="I22" s="47">
        <v>2.0099999999999998</v>
      </c>
      <c r="J22" s="121">
        <v>2.0099999999999998</v>
      </c>
      <c r="K22" s="166">
        <v>26.57</v>
      </c>
      <c r="L22" s="165">
        <v>26.17</v>
      </c>
      <c r="M22" s="276"/>
      <c r="N22" s="275"/>
      <c r="O22" s="275"/>
      <c r="P22" s="271"/>
      <c r="Q22" s="270"/>
      <c r="R22" s="56">
        <v>138.9</v>
      </c>
      <c r="S22" s="36">
        <f t="shared" si="0"/>
        <v>12.792901492503335</v>
      </c>
      <c r="T22" s="35">
        <v>3</v>
      </c>
      <c r="V22" s="35">
        <f t="shared" si="5"/>
        <v>10</v>
      </c>
      <c r="W22" s="265">
        <f t="shared" si="1"/>
        <v>2.0000000000000018E-2</v>
      </c>
      <c r="X22" s="35">
        <f t="shared" si="2"/>
        <v>0</v>
      </c>
      <c r="Y22" s="35">
        <v>0</v>
      </c>
      <c r="Z22" s="34">
        <v>0</v>
      </c>
      <c r="AA22" s="289">
        <f t="shared" si="3"/>
        <v>0</v>
      </c>
    </row>
    <row r="23" spans="1:27">
      <c r="A23" s="12">
        <f t="shared" si="4"/>
        <v>11</v>
      </c>
      <c r="B23" s="187"/>
      <c r="C23" s="291">
        <v>204</v>
      </c>
      <c r="D23" s="290">
        <v>204</v>
      </c>
      <c r="E23" s="122">
        <v>1.99</v>
      </c>
      <c r="F23" s="47">
        <v>1.97</v>
      </c>
      <c r="G23" s="47">
        <v>1.97</v>
      </c>
      <c r="H23" s="47">
        <v>1.96</v>
      </c>
      <c r="I23" s="47">
        <v>1.99</v>
      </c>
      <c r="J23" s="121">
        <v>1.96</v>
      </c>
      <c r="K23" s="166">
        <v>26.16</v>
      </c>
      <c r="L23" s="165">
        <v>26.95</v>
      </c>
      <c r="M23" s="276"/>
      <c r="N23" s="275" t="s">
        <v>20</v>
      </c>
      <c r="O23" s="275"/>
      <c r="P23" s="271"/>
      <c r="Q23" s="274" t="s">
        <v>21</v>
      </c>
      <c r="R23" s="56">
        <v>137.1</v>
      </c>
      <c r="S23" s="36">
        <f t="shared" si="0"/>
        <v>12.825093193806298</v>
      </c>
      <c r="T23" s="35">
        <v>3</v>
      </c>
      <c r="V23" s="35">
        <f t="shared" si="5"/>
        <v>11</v>
      </c>
      <c r="W23" s="265">
        <f t="shared" si="1"/>
        <v>3.0000000000000027E-2</v>
      </c>
      <c r="X23" s="35">
        <f t="shared" si="2"/>
        <v>0</v>
      </c>
      <c r="Y23" s="35">
        <v>0</v>
      </c>
      <c r="Z23" s="34">
        <v>0</v>
      </c>
      <c r="AA23" s="289">
        <f t="shared" si="3"/>
        <v>0</v>
      </c>
    </row>
    <row r="24" spans="1:27">
      <c r="A24" s="12">
        <f t="shared" si="4"/>
        <v>12</v>
      </c>
      <c r="B24" s="187"/>
      <c r="C24" s="291">
        <v>204</v>
      </c>
      <c r="D24" s="290">
        <v>204</v>
      </c>
      <c r="E24" s="122">
        <v>1.98</v>
      </c>
      <c r="F24" s="47">
        <v>2.0099999999999998</v>
      </c>
      <c r="G24" s="47">
        <v>1.97</v>
      </c>
      <c r="H24" s="47">
        <v>2</v>
      </c>
      <c r="I24" s="47">
        <v>1.97</v>
      </c>
      <c r="J24" s="121">
        <v>2</v>
      </c>
      <c r="K24" s="166">
        <v>26.71</v>
      </c>
      <c r="L24" s="165">
        <v>26.57</v>
      </c>
      <c r="M24" s="276"/>
      <c r="N24" s="275"/>
      <c r="O24" s="275"/>
      <c r="P24" s="271"/>
      <c r="Q24" s="274" t="s">
        <v>19</v>
      </c>
      <c r="R24" s="56">
        <v>137.5</v>
      </c>
      <c r="S24" s="36">
        <f t="shared" si="0"/>
        <v>12.724745849345227</v>
      </c>
      <c r="T24" s="35">
        <v>3</v>
      </c>
      <c r="V24" s="35">
        <f t="shared" si="5"/>
        <v>12</v>
      </c>
      <c r="W24" s="265">
        <f t="shared" si="1"/>
        <v>3.9999999999999813E-2</v>
      </c>
      <c r="X24" s="35">
        <f t="shared" si="2"/>
        <v>0</v>
      </c>
      <c r="Y24" s="35">
        <v>0</v>
      </c>
      <c r="Z24" s="34">
        <v>0</v>
      </c>
      <c r="AA24" s="289">
        <f t="shared" si="3"/>
        <v>0</v>
      </c>
    </row>
    <row r="25" spans="1:27">
      <c r="A25" s="12">
        <f t="shared" si="4"/>
        <v>13</v>
      </c>
      <c r="B25" s="187"/>
      <c r="C25" s="291">
        <v>204</v>
      </c>
      <c r="D25" s="290">
        <v>204</v>
      </c>
      <c r="E25" s="122">
        <v>2</v>
      </c>
      <c r="F25" s="47">
        <v>2.0099999999999998</v>
      </c>
      <c r="G25" s="47">
        <v>1.98</v>
      </c>
      <c r="H25" s="47">
        <v>1.98</v>
      </c>
      <c r="I25" s="47">
        <v>1.99</v>
      </c>
      <c r="J25" s="121">
        <v>2</v>
      </c>
      <c r="K25" s="166">
        <v>26.99</v>
      </c>
      <c r="L25" s="165">
        <v>26.52</v>
      </c>
      <c r="M25" s="276"/>
      <c r="N25" s="275"/>
      <c r="O25" s="275"/>
      <c r="P25" s="271"/>
      <c r="Q25" s="274" t="s">
        <v>21</v>
      </c>
      <c r="R25" s="56">
        <v>137.6</v>
      </c>
      <c r="S25" s="36">
        <f t="shared" si="0"/>
        <v>12.647461961379431</v>
      </c>
      <c r="T25" s="35">
        <v>3</v>
      </c>
      <c r="V25" s="35">
        <f t="shared" si="5"/>
        <v>13</v>
      </c>
      <c r="W25" s="265">
        <f t="shared" si="1"/>
        <v>2.9999999999999805E-2</v>
      </c>
      <c r="X25" s="35">
        <f t="shared" si="2"/>
        <v>0</v>
      </c>
      <c r="Y25" s="35">
        <v>0</v>
      </c>
      <c r="Z25" s="34">
        <v>0</v>
      </c>
      <c r="AA25" s="289">
        <f t="shared" si="3"/>
        <v>0</v>
      </c>
    </row>
    <row r="26" spans="1:27">
      <c r="A26" s="12">
        <f t="shared" si="4"/>
        <v>14</v>
      </c>
      <c r="B26" s="187"/>
      <c r="C26" s="291">
        <v>204</v>
      </c>
      <c r="D26" s="290">
        <v>204</v>
      </c>
      <c r="E26" s="122">
        <v>2.02</v>
      </c>
      <c r="F26" s="47">
        <v>2.0099999999999998</v>
      </c>
      <c r="G26" s="47">
        <v>1.99</v>
      </c>
      <c r="H26" s="47">
        <v>2.0099999999999998</v>
      </c>
      <c r="I26" s="47">
        <v>2.0099999999999998</v>
      </c>
      <c r="J26" s="121">
        <v>2.0099999999999998</v>
      </c>
      <c r="K26" s="166">
        <v>26.05</v>
      </c>
      <c r="L26" s="165">
        <v>26.4</v>
      </c>
      <c r="M26" s="276"/>
      <c r="N26" s="275"/>
      <c r="O26" s="275"/>
      <c r="P26" s="271"/>
      <c r="Q26" s="274" t="s">
        <v>19</v>
      </c>
      <c r="R26" s="56">
        <v>140.5</v>
      </c>
      <c r="S26" s="36">
        <f t="shared" si="0"/>
        <v>13.076600726007287</v>
      </c>
      <c r="T26" s="35">
        <v>3</v>
      </c>
      <c r="V26" s="35">
        <f t="shared" si="5"/>
        <v>14</v>
      </c>
      <c r="W26" s="265">
        <f t="shared" si="1"/>
        <v>3.0000000000000027E-2</v>
      </c>
      <c r="X26" s="35">
        <f t="shared" si="2"/>
        <v>0</v>
      </c>
      <c r="Y26" s="35">
        <v>0</v>
      </c>
      <c r="Z26" s="34">
        <v>0</v>
      </c>
      <c r="AA26" s="289">
        <f t="shared" si="3"/>
        <v>0</v>
      </c>
    </row>
    <row r="27" spans="1:27">
      <c r="A27" s="71">
        <f t="shared" si="4"/>
        <v>15</v>
      </c>
      <c r="B27" s="261"/>
      <c r="C27" s="288">
        <v>204</v>
      </c>
      <c r="D27" s="287">
        <v>204</v>
      </c>
      <c r="E27" s="285">
        <v>1.95</v>
      </c>
      <c r="F27" s="75">
        <v>1.97</v>
      </c>
      <c r="G27" s="75">
        <v>1.97</v>
      </c>
      <c r="H27" s="75">
        <v>1.98</v>
      </c>
      <c r="I27" s="75">
        <v>1.96</v>
      </c>
      <c r="J27" s="195">
        <v>1.98</v>
      </c>
      <c r="K27" s="157">
        <v>26.3</v>
      </c>
      <c r="L27" s="156">
        <v>26.42</v>
      </c>
      <c r="M27" s="284"/>
      <c r="N27" s="283"/>
      <c r="O27" s="283"/>
      <c r="P27" s="267"/>
      <c r="Q27" s="282" t="s">
        <v>21</v>
      </c>
      <c r="R27" s="220">
        <v>135.1</v>
      </c>
      <c r="S27" s="20">
        <f t="shared" si="0"/>
        <v>12.763833444576772</v>
      </c>
      <c r="T27" s="19">
        <v>3</v>
      </c>
      <c r="V27" s="19">
        <f t="shared" si="5"/>
        <v>15</v>
      </c>
      <c r="W27" s="265">
        <f t="shared" si="1"/>
        <v>3.0000000000000027E-2</v>
      </c>
      <c r="X27" s="19">
        <f t="shared" si="2"/>
        <v>0</v>
      </c>
      <c r="Y27" s="19">
        <v>0</v>
      </c>
      <c r="Z27" s="18">
        <v>0</v>
      </c>
      <c r="AA27" s="286">
        <f t="shared" si="3"/>
        <v>0</v>
      </c>
    </row>
    <row r="28" spans="1:27" s="16" customFormat="1">
      <c r="Y28" s="16">
        <f>SUM(Y12:Y27)</f>
        <v>1</v>
      </c>
      <c r="Z28" s="16">
        <f>SUM(Z12:Z27)</f>
        <v>0</v>
      </c>
      <c r="AA28" s="16">
        <f>SUM(AA12:AA27)</f>
        <v>1</v>
      </c>
    </row>
    <row r="30" spans="1:27">
      <c r="A30" s="12" t="s">
        <v>17</v>
      </c>
      <c r="C30" s="1" t="s">
        <v>16</v>
      </c>
      <c r="E30" s="1" t="s">
        <v>15</v>
      </c>
      <c r="K30" s="1" t="s">
        <v>14</v>
      </c>
      <c r="R30" s="1" t="s">
        <v>13</v>
      </c>
      <c r="S30" s="1" t="s">
        <v>12</v>
      </c>
    </row>
    <row r="31" spans="1:27">
      <c r="A31" s="12"/>
      <c r="G31" s="6"/>
    </row>
    <row r="32" spans="1:27">
      <c r="A32" s="1" t="s">
        <v>11</v>
      </c>
      <c r="C32" s="1">
        <f>8*25.4</f>
        <v>203.2</v>
      </c>
      <c r="E32" s="1">
        <f>C6</f>
        <v>2.032</v>
      </c>
      <c r="K32" s="11">
        <v>25.4</v>
      </c>
    </row>
    <row r="33" spans="1:20">
      <c r="A33" s="1" t="s">
        <v>10</v>
      </c>
      <c r="C33" s="1">
        <f>MODE(C12:D27)</f>
        <v>204</v>
      </c>
      <c r="E33" s="1">
        <f>MODE(E12:J27)</f>
        <v>2</v>
      </c>
      <c r="G33" s="6"/>
      <c r="K33" s="1">
        <f>MODE(K12:L27)</f>
        <v>26.5</v>
      </c>
      <c r="R33" s="1" t="e">
        <f>MODE(R12:R27)</f>
        <v>#N/A</v>
      </c>
      <c r="S33" s="1" t="e">
        <f>MODE(S12:S27)</f>
        <v>#N/A</v>
      </c>
    </row>
    <row r="34" spans="1:20">
      <c r="A34" s="1" t="s">
        <v>9</v>
      </c>
      <c r="C34" s="10">
        <f>AVERAGE(C12:D27)</f>
        <v>203.96875</v>
      </c>
      <c r="D34" s="10"/>
      <c r="E34" s="7">
        <f>AVERAGE(E12:J27)</f>
        <v>1.9881249999999993</v>
      </c>
      <c r="K34" s="6">
        <f>AVERAGE(K12:L27)</f>
        <v>26.477499999999999</v>
      </c>
      <c r="R34" s="9">
        <f>AVERAGE(R12:R27)</f>
        <v>136.56249999999997</v>
      </c>
      <c r="S34" s="9">
        <f>AVERAGE(S12:S27)</f>
        <v>12.718993364446803</v>
      </c>
      <c r="T34" s="9"/>
    </row>
    <row r="35" spans="1:20">
      <c r="A35" s="1" t="s">
        <v>8</v>
      </c>
      <c r="C35" s="1">
        <f>STDEV(C17:D27)</f>
        <v>0</v>
      </c>
      <c r="E35" s="1">
        <f>STDEV(E12:J27)</f>
        <v>2.999342033109751E-2</v>
      </c>
      <c r="K35" s="1">
        <f>STDEV(K12:L27)</f>
        <v>0.29845840473144403</v>
      </c>
      <c r="R35" s="1">
        <f>STDEV(R12:R27)</f>
        <v>2.5139278695565945</v>
      </c>
      <c r="S35" s="1">
        <f>STDEV(S12:S27)</f>
        <v>0.14087300302616854</v>
      </c>
    </row>
    <row r="36" spans="1:20">
      <c r="A36" s="8" t="s">
        <v>7</v>
      </c>
      <c r="E36" s="7">
        <f>E34+E35</f>
        <v>2.0181184203310969</v>
      </c>
      <c r="K36" s="6">
        <f>K34+K35</f>
        <v>26.775958404731444</v>
      </c>
      <c r="R36" s="1">
        <f>R34+R35</f>
        <v>139.07642786955657</v>
      </c>
      <c r="S36" s="9">
        <f>S35+S34</f>
        <v>12.859866367472971</v>
      </c>
    </row>
    <row r="37" spans="1:20">
      <c r="A37" s="8" t="s">
        <v>6</v>
      </c>
      <c r="E37" s="7">
        <f>E34-E35</f>
        <v>1.9581315796689018</v>
      </c>
      <c r="K37" s="6">
        <f>K34-K35</f>
        <v>26.179041595268554</v>
      </c>
      <c r="R37" s="1">
        <f>R34-R35</f>
        <v>134.04857213044338</v>
      </c>
      <c r="S37" s="9">
        <f>S34-S35</f>
        <v>12.578120361420634</v>
      </c>
    </row>
    <row r="38" spans="1:20">
      <c r="A38" s="1" t="s">
        <v>72</v>
      </c>
      <c r="C38" s="6">
        <f>MAX(C12:D27)-C32</f>
        <v>0.80000000000001137</v>
      </c>
      <c r="E38" s="7">
        <f>MAX(E12:J27)-E32</f>
        <v>6.800000000000006E-2</v>
      </c>
      <c r="K38" s="6">
        <f>MAX(K12:L27)-$K32</f>
        <v>2.16</v>
      </c>
    </row>
    <row r="39" spans="1:20">
      <c r="A39" s="1" t="s">
        <v>71</v>
      </c>
      <c r="C39" s="6">
        <f>MIN(C12:D27)-C32</f>
        <v>-0.19999999999998863</v>
      </c>
      <c r="E39" s="7">
        <f>MIN(E12:J27)-E32</f>
        <v>-0.10200000000000009</v>
      </c>
      <c r="K39" s="6">
        <f>MIN(K12:L27)-K32</f>
        <v>0.65000000000000213</v>
      </c>
    </row>
    <row r="40" spans="1:20" ht="15" thickBot="1">
      <c r="B40" s="6"/>
      <c r="C40" s="6"/>
      <c r="D40" s="6"/>
      <c r="E40" s="6"/>
      <c r="F40" s="6"/>
      <c r="G40" s="6"/>
      <c r="H40" s="6"/>
      <c r="I40" s="6"/>
    </row>
    <row r="41" spans="1:20">
      <c r="A41" s="1" t="s">
        <v>3</v>
      </c>
      <c r="B41" s="6"/>
      <c r="C41" s="5" t="s">
        <v>2</v>
      </c>
      <c r="D41" s="5" t="s">
        <v>1</v>
      </c>
      <c r="E41" s="6"/>
    </row>
    <row r="42" spans="1:20">
      <c r="A42" s="1">
        <v>1.92</v>
      </c>
      <c r="B42" s="6"/>
      <c r="C42" s="4">
        <v>1.92</v>
      </c>
      <c r="D42" s="3">
        <v>0</v>
      </c>
      <c r="E42" s="6"/>
    </row>
    <row r="43" spans="1:20">
      <c r="A43" s="1">
        <v>1.93</v>
      </c>
      <c r="B43" s="6"/>
      <c r="C43" s="4">
        <v>1.93</v>
      </c>
      <c r="D43" s="3">
        <v>2</v>
      </c>
      <c r="E43" s="6"/>
    </row>
    <row r="44" spans="1:20">
      <c r="A44" s="1">
        <f t="shared" ref="A44:A61" si="6">A43+0.01</f>
        <v>1.94</v>
      </c>
      <c r="B44" s="6"/>
      <c r="C44" s="4">
        <v>1.94</v>
      </c>
      <c r="D44" s="3">
        <v>3</v>
      </c>
      <c r="E44" s="6"/>
    </row>
    <row r="45" spans="1:20">
      <c r="A45" s="1">
        <f t="shared" si="6"/>
        <v>1.95</v>
      </c>
      <c r="B45" s="6"/>
      <c r="C45" s="4">
        <v>1.95</v>
      </c>
      <c r="D45" s="3">
        <v>7</v>
      </c>
      <c r="E45" s="6"/>
    </row>
    <row r="46" spans="1:20">
      <c r="A46" s="1">
        <f t="shared" si="6"/>
        <v>1.96</v>
      </c>
      <c r="B46" s="6"/>
      <c r="C46" s="4">
        <v>1.96</v>
      </c>
      <c r="D46" s="3">
        <v>10</v>
      </c>
      <c r="E46" s="6"/>
    </row>
    <row r="47" spans="1:20">
      <c r="A47" s="1">
        <f t="shared" si="6"/>
        <v>1.97</v>
      </c>
      <c r="B47" s="6"/>
      <c r="C47" s="4">
        <v>1.97</v>
      </c>
      <c r="D47" s="3">
        <v>13</v>
      </c>
      <c r="E47" s="6"/>
    </row>
    <row r="48" spans="1:20">
      <c r="A48" s="1">
        <f t="shared" si="6"/>
        <v>1.98</v>
      </c>
      <c r="B48" s="6"/>
      <c r="C48" s="4">
        <v>1.98</v>
      </c>
      <c r="D48" s="3">
        <v>11</v>
      </c>
      <c r="E48" s="6"/>
    </row>
    <row r="49" spans="1:5">
      <c r="A49" s="1">
        <f t="shared" si="6"/>
        <v>1.99</v>
      </c>
      <c r="B49" s="6"/>
      <c r="C49" s="4">
        <v>1.99</v>
      </c>
      <c r="D49" s="3">
        <v>10</v>
      </c>
      <c r="E49" s="6"/>
    </row>
    <row r="50" spans="1:5">
      <c r="A50" s="1">
        <f t="shared" si="6"/>
        <v>2</v>
      </c>
      <c r="B50" s="6"/>
      <c r="C50" s="4">
        <v>2</v>
      </c>
      <c r="D50" s="3">
        <v>17</v>
      </c>
      <c r="E50" s="6"/>
    </row>
    <row r="51" spans="1:5">
      <c r="A51" s="1">
        <f t="shared" si="6"/>
        <v>2.0099999999999998</v>
      </c>
      <c r="B51" s="6"/>
      <c r="C51" s="4">
        <v>2.0099999999999998</v>
      </c>
      <c r="D51" s="3">
        <v>9</v>
      </c>
      <c r="E51" s="6"/>
    </row>
    <row r="52" spans="1:5">
      <c r="A52" s="1">
        <f t="shared" si="6"/>
        <v>2.0199999999999996</v>
      </c>
      <c r="B52" s="6"/>
      <c r="C52" s="4">
        <v>2.0199999999999996</v>
      </c>
      <c r="D52" s="3">
        <v>0</v>
      </c>
      <c r="E52" s="6"/>
    </row>
    <row r="53" spans="1:5">
      <c r="A53" s="1">
        <f t="shared" si="6"/>
        <v>2.0299999999999994</v>
      </c>
      <c r="B53" s="6"/>
      <c r="C53" s="4">
        <v>2.0299999999999994</v>
      </c>
      <c r="D53" s="3">
        <v>2</v>
      </c>
      <c r="E53" s="6"/>
    </row>
    <row r="54" spans="1:5">
      <c r="A54" s="1">
        <f t="shared" si="6"/>
        <v>2.0399999999999991</v>
      </c>
      <c r="B54" s="6"/>
      <c r="C54" s="4">
        <v>2.0399999999999991</v>
      </c>
      <c r="D54" s="3">
        <v>6</v>
      </c>
      <c r="E54" s="6"/>
    </row>
    <row r="55" spans="1:5">
      <c r="A55" s="1">
        <f t="shared" si="6"/>
        <v>2.0499999999999989</v>
      </c>
      <c r="B55" s="6"/>
      <c r="C55" s="4">
        <v>2.0499999999999989</v>
      </c>
      <c r="D55" s="3">
        <v>2</v>
      </c>
      <c r="E55" s="6"/>
    </row>
    <row r="56" spans="1:5">
      <c r="A56" s="1">
        <f t="shared" si="6"/>
        <v>2.0599999999999987</v>
      </c>
      <c r="B56" s="6"/>
      <c r="C56" s="4">
        <v>2.0599999999999987</v>
      </c>
      <c r="D56" s="3">
        <v>3</v>
      </c>
      <c r="E56" s="6"/>
    </row>
    <row r="57" spans="1:5">
      <c r="A57" s="1">
        <f t="shared" si="6"/>
        <v>2.0699999999999985</v>
      </c>
      <c r="B57" s="6"/>
      <c r="C57" s="4">
        <v>2.0699999999999985</v>
      </c>
      <c r="D57" s="3">
        <v>0</v>
      </c>
      <c r="E57" s="6"/>
    </row>
    <row r="58" spans="1:5">
      <c r="A58" s="1">
        <f t="shared" si="6"/>
        <v>2.0799999999999983</v>
      </c>
      <c r="C58" s="4">
        <v>2.0799999999999983</v>
      </c>
      <c r="D58" s="3">
        <v>0</v>
      </c>
    </row>
    <row r="59" spans="1:5">
      <c r="A59" s="1">
        <f t="shared" si="6"/>
        <v>2.0899999999999981</v>
      </c>
      <c r="C59" s="4">
        <v>2.0899999999999981</v>
      </c>
      <c r="D59" s="3">
        <v>0</v>
      </c>
    </row>
    <row r="60" spans="1:5">
      <c r="A60" s="1">
        <f t="shared" si="6"/>
        <v>2.0999999999999979</v>
      </c>
      <c r="C60" s="4">
        <v>2.0999999999999979</v>
      </c>
      <c r="D60" s="3">
        <v>0</v>
      </c>
    </row>
    <row r="61" spans="1:5">
      <c r="A61" s="1">
        <f t="shared" si="6"/>
        <v>2.1099999999999977</v>
      </c>
      <c r="C61" s="4">
        <v>2.1099999999999977</v>
      </c>
      <c r="D61" s="3">
        <v>1</v>
      </c>
    </row>
    <row r="62" spans="1:5" ht="15" thickBot="1">
      <c r="C62" s="2" t="s">
        <v>0</v>
      </c>
      <c r="D62" s="2">
        <v>0</v>
      </c>
    </row>
  </sheetData>
  <mergeCells count="4">
    <mergeCell ref="C9:D9"/>
    <mergeCell ref="E9:I9"/>
    <mergeCell ref="K9:L9"/>
    <mergeCell ref="M9:P9"/>
  </mergeCells>
  <phoneticPr fontId="16" type="noConversion"/>
  <pageMargins left="0.25" right="0.25" top="0.25" bottom="0.25" header="0.3" footer="0.3"/>
  <pageSetup orientation="landscape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0"/>
  <sheetViews>
    <sheetView zoomScale="70" zoomScaleNormal="70" zoomScalePageLayoutView="70" workbookViewId="0">
      <selection activeCell="AC32" sqref="AC32"/>
    </sheetView>
  </sheetViews>
  <sheetFormatPr baseColWidth="10" defaultColWidth="8.83203125" defaultRowHeight="14" x14ac:dyDescent="0"/>
  <cols>
    <col min="1" max="1" width="6.33203125" style="1" customWidth="1"/>
    <col min="2" max="2" width="16.1640625" style="1" customWidth="1"/>
    <col min="3" max="4" width="5.1640625" style="1" customWidth="1"/>
    <col min="5" max="9" width="6.83203125" style="1" customWidth="1"/>
    <col min="10" max="10" width="6.83203125" style="1" bestFit="1" customWidth="1"/>
    <col min="11" max="12" width="6.83203125" style="1" customWidth="1"/>
    <col min="13" max="16" width="3.6640625" style="1" customWidth="1"/>
    <col min="17" max="17" width="6.33203125" style="1" customWidth="1"/>
    <col min="18" max="18" width="7" style="1" customWidth="1"/>
    <col min="19" max="19" width="5.1640625" style="1" customWidth="1"/>
    <col min="20" max="20" width="9.83203125" style="1" customWidth="1"/>
    <col min="21" max="16384" width="8.83203125" style="1"/>
  </cols>
  <sheetData>
    <row r="1" spans="1:28">
      <c r="A1" s="1" t="s">
        <v>49</v>
      </c>
      <c r="B1" s="79"/>
    </row>
    <row r="2" spans="1:28">
      <c r="A2" s="1" t="s">
        <v>48</v>
      </c>
      <c r="B2" s="79"/>
    </row>
    <row r="3" spans="1:28">
      <c r="A3" s="1" t="s">
        <v>47</v>
      </c>
      <c r="B3" s="79"/>
    </row>
    <row r="4" spans="1:28">
      <c r="B4" s="79"/>
    </row>
    <row r="5" spans="1:28">
      <c r="B5" s="1" t="s">
        <v>46</v>
      </c>
      <c r="C5" s="1" t="s">
        <v>45</v>
      </c>
    </row>
    <row r="6" spans="1:28">
      <c r="A6" s="1" t="s">
        <v>102</v>
      </c>
      <c r="B6" s="12">
        <v>0.125</v>
      </c>
      <c r="C6" s="1">
        <f>B6*25.4</f>
        <v>3.1749999999999998</v>
      </c>
      <c r="D6" s="79"/>
      <c r="E6" s="79"/>
      <c r="F6" s="79"/>
      <c r="G6" s="79"/>
      <c r="H6" s="79"/>
      <c r="I6" s="79"/>
      <c r="J6" s="79"/>
      <c r="K6" s="79"/>
      <c r="L6" s="79"/>
      <c r="M6" s="79"/>
      <c r="N6" s="79"/>
      <c r="O6" s="79"/>
      <c r="P6" s="79"/>
      <c r="Q6" s="79"/>
      <c r="R6" s="9"/>
      <c r="S6" s="9"/>
      <c r="T6" s="9"/>
    </row>
    <row r="7" spans="1:28">
      <c r="B7" s="12"/>
      <c r="D7" s="79"/>
      <c r="E7" s="79"/>
      <c r="F7" s="79"/>
      <c r="G7" s="79"/>
      <c r="H7" s="79"/>
      <c r="I7" s="79"/>
      <c r="J7" s="79"/>
      <c r="K7" s="79"/>
      <c r="L7" s="79"/>
      <c r="M7" s="79"/>
      <c r="N7" s="79"/>
      <c r="O7" s="79"/>
      <c r="P7" s="79"/>
      <c r="Q7" s="79"/>
      <c r="R7" s="9"/>
      <c r="S7" s="9"/>
      <c r="T7" s="9"/>
    </row>
    <row r="8" spans="1:28">
      <c r="A8" s="1" t="s">
        <v>54</v>
      </c>
      <c r="B8" s="79"/>
      <c r="C8" s="79"/>
      <c r="D8" s="79"/>
      <c r="E8" s="79"/>
      <c r="F8" s="79"/>
      <c r="G8" s="79"/>
      <c r="H8" s="79"/>
      <c r="I8" s="79"/>
      <c r="J8" s="79"/>
      <c r="K8" s="79"/>
      <c r="L8" s="79"/>
      <c r="M8" s="79"/>
      <c r="N8" s="79"/>
      <c r="O8" s="79"/>
      <c r="P8" s="79"/>
      <c r="Q8" s="79"/>
      <c r="R8" s="9"/>
      <c r="S8" s="9"/>
      <c r="T8" s="9"/>
      <c r="W8" s="221" t="s">
        <v>42</v>
      </c>
      <c r="Y8" s="221"/>
    </row>
    <row r="9" spans="1:28" ht="42">
      <c r="A9" s="71" t="s">
        <v>32</v>
      </c>
      <c r="B9" s="76" t="s">
        <v>41</v>
      </c>
      <c r="C9" s="386" t="s">
        <v>40</v>
      </c>
      <c r="D9" s="387"/>
      <c r="E9" s="385" t="s">
        <v>39</v>
      </c>
      <c r="F9" s="385"/>
      <c r="G9" s="385"/>
      <c r="H9" s="385"/>
      <c r="I9" s="385"/>
      <c r="J9" s="75"/>
      <c r="K9" s="386" t="s">
        <v>38</v>
      </c>
      <c r="L9" s="387"/>
      <c r="M9" s="386" t="s">
        <v>37</v>
      </c>
      <c r="N9" s="384"/>
      <c r="O9" s="384"/>
      <c r="P9" s="384"/>
      <c r="Q9" s="74" t="s">
        <v>36</v>
      </c>
      <c r="R9" s="204" t="s">
        <v>70</v>
      </c>
      <c r="S9" s="203" t="s">
        <v>69</v>
      </c>
      <c r="T9" s="19" t="s">
        <v>33</v>
      </c>
      <c r="V9" s="19" t="s">
        <v>32</v>
      </c>
      <c r="W9" s="253" t="s">
        <v>58</v>
      </c>
      <c r="X9" s="69" t="s">
        <v>31</v>
      </c>
      <c r="Y9" s="68" t="s">
        <v>30</v>
      </c>
      <c r="Z9" s="19" t="s">
        <v>29</v>
      </c>
      <c r="AA9" s="67" t="s">
        <v>51</v>
      </c>
      <c r="AB9" s="67" t="s">
        <v>27</v>
      </c>
    </row>
    <row r="10" spans="1:28">
      <c r="A10" s="16"/>
      <c r="B10" s="217"/>
      <c r="C10" s="219">
        <v>1</v>
      </c>
      <c r="D10" s="217">
        <v>2</v>
      </c>
      <c r="E10" s="219">
        <v>1</v>
      </c>
      <c r="F10" s="218">
        <v>2</v>
      </c>
      <c r="G10" s="218">
        <v>3</v>
      </c>
      <c r="H10" s="218">
        <v>4</v>
      </c>
      <c r="I10" s="218">
        <v>5</v>
      </c>
      <c r="J10" s="217">
        <v>6</v>
      </c>
      <c r="K10" s="219">
        <v>1</v>
      </c>
      <c r="L10" s="217">
        <v>2</v>
      </c>
      <c r="M10" s="219">
        <v>1</v>
      </c>
      <c r="N10" s="218">
        <v>2</v>
      </c>
      <c r="O10" s="218">
        <v>3</v>
      </c>
      <c r="P10" s="218">
        <v>4</v>
      </c>
      <c r="Q10" s="217"/>
      <c r="R10" s="216"/>
      <c r="S10" s="215"/>
      <c r="T10" s="35"/>
      <c r="V10" s="35"/>
      <c r="W10" s="35"/>
      <c r="X10" s="52"/>
      <c r="Y10" s="59"/>
      <c r="Z10" s="59"/>
      <c r="AA10" s="35"/>
    </row>
    <row r="11" spans="1:28">
      <c r="A11" s="12"/>
      <c r="B11" s="187"/>
      <c r="C11" s="177"/>
      <c r="D11" s="187"/>
      <c r="E11" s="122"/>
      <c r="F11" s="47"/>
      <c r="G11" s="47"/>
      <c r="H11" s="47"/>
      <c r="I11" s="47"/>
      <c r="J11" s="121"/>
      <c r="K11" s="177"/>
      <c r="L11" s="187"/>
      <c r="M11" s="177"/>
      <c r="N11" s="55"/>
      <c r="O11" s="55"/>
      <c r="P11" s="55"/>
      <c r="Q11" s="187"/>
      <c r="R11" s="37"/>
      <c r="S11" s="53"/>
      <c r="T11" s="35"/>
      <c r="V11" s="35"/>
      <c r="W11" s="35"/>
      <c r="X11" s="52"/>
      <c r="Y11" s="35"/>
      <c r="Z11" s="35"/>
      <c r="AA11" s="35"/>
    </row>
    <row r="12" spans="1:28">
      <c r="A12" s="12">
        <v>1</v>
      </c>
      <c r="B12" s="187"/>
      <c r="C12" s="213">
        <v>206</v>
      </c>
      <c r="D12" s="182">
        <v>206</v>
      </c>
      <c r="E12" s="122">
        <v>3.42</v>
      </c>
      <c r="F12" s="47">
        <v>3.43</v>
      </c>
      <c r="G12" s="47">
        <v>3.45</v>
      </c>
      <c r="H12" s="47">
        <v>3.44</v>
      </c>
      <c r="I12" s="47">
        <v>3.42</v>
      </c>
      <c r="J12" s="121">
        <v>3.42</v>
      </c>
      <c r="K12" s="166">
        <v>25.66</v>
      </c>
      <c r="L12" s="165">
        <v>25.65</v>
      </c>
      <c r="M12" s="177"/>
      <c r="N12" s="55"/>
      <c r="O12" s="55"/>
      <c r="P12" s="55"/>
      <c r="Q12" s="274" t="s">
        <v>19</v>
      </c>
      <c r="R12" s="37">
        <v>261.7</v>
      </c>
      <c r="S12" s="53">
        <f t="shared" ref="S12:S22" si="0">R12/(AVERAGE(C12,D12)*AVERAGE(E12:J12)*AVERAGE(K12:L12)*0.001)</f>
        <v>14.436780826481042</v>
      </c>
      <c r="T12" s="35">
        <v>2</v>
      </c>
      <c r="V12" s="35">
        <v>1</v>
      </c>
      <c r="W12" s="160">
        <f t="shared" ref="W12:W22" si="1">MAX(E12:J12)-MIN(E12:J12)</f>
        <v>3.0000000000000249E-2</v>
      </c>
      <c r="X12" s="35">
        <f t="shared" ref="X12:X22" si="2">IF(OR(ABS(E12-$C$6)&gt;($C$6*0.1),ABS(F12-$C$6)&gt;($C$6*0.1),ABS(G12-$C$6)&gt;($C$6*0.1),ABS(H12-$C$6)&gt;($C$6*0.1),ABS(I12-$C$6)&gt;($C$6*0.1),ABS(J12-$C$6)&gt;($C$6*0.1)),1,0)</f>
        <v>0</v>
      </c>
      <c r="Y12" s="35">
        <v>0</v>
      </c>
      <c r="Z12" s="34">
        <v>0</v>
      </c>
      <c r="AA12" s="35">
        <f t="shared" ref="AA12:AA22" si="3">IF(OR(M12="Y",N12="Y",O12="Y",P12="Y"),1,0)</f>
        <v>0</v>
      </c>
    </row>
    <row r="13" spans="1:28">
      <c r="A13" s="12">
        <f t="shared" ref="A13:A22" si="4">A12+1</f>
        <v>2</v>
      </c>
      <c r="B13" s="187"/>
      <c r="C13" s="213">
        <v>206</v>
      </c>
      <c r="D13" s="182">
        <v>206</v>
      </c>
      <c r="E13" s="122">
        <v>3.43</v>
      </c>
      <c r="F13" s="47">
        <v>3.43</v>
      </c>
      <c r="G13" s="47">
        <v>3.46</v>
      </c>
      <c r="H13" s="47">
        <v>3.44</v>
      </c>
      <c r="I13" s="47">
        <v>3.44</v>
      </c>
      <c r="J13" s="121">
        <v>3.43</v>
      </c>
      <c r="K13" s="166">
        <v>25.64</v>
      </c>
      <c r="L13" s="165">
        <v>25.64</v>
      </c>
      <c r="M13" s="177"/>
      <c r="N13" s="55"/>
      <c r="O13" s="55"/>
      <c r="P13" s="55"/>
      <c r="Q13" s="274" t="s">
        <v>19</v>
      </c>
      <c r="R13" s="37">
        <v>262.10000000000002</v>
      </c>
      <c r="S13" s="53">
        <f t="shared" si="0"/>
        <v>14.432241987616809</v>
      </c>
      <c r="T13" s="35">
        <v>2</v>
      </c>
      <c r="V13" s="35">
        <f t="shared" ref="V13:V22" si="5">V12+1</f>
        <v>2</v>
      </c>
      <c r="W13" s="160">
        <f t="shared" si="1"/>
        <v>2.9999999999999805E-2</v>
      </c>
      <c r="X13" s="35">
        <f t="shared" si="2"/>
        <v>0</v>
      </c>
      <c r="Y13" s="35">
        <v>0</v>
      </c>
      <c r="Z13" s="34">
        <v>0</v>
      </c>
      <c r="AA13" s="35">
        <f t="shared" si="3"/>
        <v>0</v>
      </c>
    </row>
    <row r="14" spans="1:28">
      <c r="A14" s="12">
        <f t="shared" si="4"/>
        <v>3</v>
      </c>
      <c r="B14" s="187"/>
      <c r="C14" s="213">
        <v>206</v>
      </c>
      <c r="D14" s="182">
        <v>206</v>
      </c>
      <c r="E14" s="122">
        <v>3.44</v>
      </c>
      <c r="F14" s="47">
        <v>3.44</v>
      </c>
      <c r="G14" s="47">
        <v>3.45</v>
      </c>
      <c r="H14" s="47">
        <v>3.45</v>
      </c>
      <c r="I14" s="47">
        <v>3.42</v>
      </c>
      <c r="J14" s="121">
        <v>3.41</v>
      </c>
      <c r="K14" s="166">
        <v>25.68</v>
      </c>
      <c r="L14" s="165">
        <v>25.68</v>
      </c>
      <c r="M14" s="177"/>
      <c r="N14" s="55"/>
      <c r="O14" s="55"/>
      <c r="P14" s="55"/>
      <c r="Q14" s="274" t="s">
        <v>19</v>
      </c>
      <c r="R14" s="37">
        <v>260.89999999999998</v>
      </c>
      <c r="S14" s="53">
        <f t="shared" si="0"/>
        <v>14.357707382417251</v>
      </c>
      <c r="T14" s="35">
        <v>2</v>
      </c>
      <c r="V14" s="35">
        <f t="shared" si="5"/>
        <v>3</v>
      </c>
      <c r="W14" s="160">
        <f t="shared" si="1"/>
        <v>4.0000000000000036E-2</v>
      </c>
      <c r="X14" s="35">
        <f t="shared" si="2"/>
        <v>0</v>
      </c>
      <c r="Y14" s="35">
        <v>0</v>
      </c>
      <c r="Z14" s="34">
        <v>0</v>
      </c>
      <c r="AA14" s="35">
        <f t="shared" si="3"/>
        <v>0</v>
      </c>
    </row>
    <row r="15" spans="1:28">
      <c r="A15" s="12">
        <f t="shared" si="4"/>
        <v>4</v>
      </c>
      <c r="B15" s="187"/>
      <c r="C15" s="213">
        <v>206</v>
      </c>
      <c r="D15" s="182">
        <v>206</v>
      </c>
      <c r="E15" s="122">
        <v>3.37</v>
      </c>
      <c r="F15" s="47">
        <v>3.38</v>
      </c>
      <c r="G15" s="47">
        <v>3.39</v>
      </c>
      <c r="H15" s="47">
        <v>3.38</v>
      </c>
      <c r="I15" s="47">
        <v>3.36</v>
      </c>
      <c r="J15" s="121">
        <v>3.37</v>
      </c>
      <c r="K15" s="166">
        <v>25.66</v>
      </c>
      <c r="L15" s="165">
        <v>25.66</v>
      </c>
      <c r="M15" s="177"/>
      <c r="N15" s="55"/>
      <c r="O15" s="55"/>
      <c r="P15" s="55"/>
      <c r="Q15" s="274" t="s">
        <v>21</v>
      </c>
      <c r="R15" s="37">
        <v>258.7</v>
      </c>
      <c r="S15" s="53">
        <f t="shared" si="0"/>
        <v>14.501027599878139</v>
      </c>
      <c r="T15" s="35">
        <v>2</v>
      </c>
      <c r="V15" s="35">
        <f t="shared" si="5"/>
        <v>4</v>
      </c>
      <c r="W15" s="160">
        <f t="shared" si="1"/>
        <v>3.0000000000000249E-2</v>
      </c>
      <c r="X15" s="35">
        <f t="shared" si="2"/>
        <v>0</v>
      </c>
      <c r="Y15" s="35">
        <v>0</v>
      </c>
      <c r="Z15" s="34">
        <v>0</v>
      </c>
      <c r="AA15" s="35">
        <f t="shared" si="3"/>
        <v>0</v>
      </c>
    </row>
    <row r="16" spans="1:28">
      <c r="A16" s="12">
        <f t="shared" si="4"/>
        <v>5</v>
      </c>
      <c r="B16" s="187"/>
      <c r="C16" s="213">
        <v>206</v>
      </c>
      <c r="D16" s="182">
        <v>206</v>
      </c>
      <c r="E16" s="122">
        <v>3.43</v>
      </c>
      <c r="F16" s="47">
        <v>3.43</v>
      </c>
      <c r="G16" s="47">
        <v>3.44</v>
      </c>
      <c r="H16" s="47">
        <v>3.44</v>
      </c>
      <c r="I16" s="47">
        <v>3.43</v>
      </c>
      <c r="J16" s="121">
        <v>3.43</v>
      </c>
      <c r="K16" s="166">
        <v>25.67</v>
      </c>
      <c r="L16" s="165">
        <v>25.68</v>
      </c>
      <c r="M16" s="177"/>
      <c r="N16" s="55"/>
      <c r="O16" s="55"/>
      <c r="P16" s="55"/>
      <c r="Q16" s="270"/>
      <c r="R16" s="37">
        <v>261.8</v>
      </c>
      <c r="S16" s="53">
        <f t="shared" si="0"/>
        <v>14.417036553722504</v>
      </c>
      <c r="T16" s="35">
        <v>2</v>
      </c>
      <c r="V16" s="35">
        <f t="shared" si="5"/>
        <v>5</v>
      </c>
      <c r="W16" s="160">
        <f t="shared" si="1"/>
        <v>9.9999999999997868E-3</v>
      </c>
      <c r="X16" s="35">
        <f t="shared" si="2"/>
        <v>0</v>
      </c>
      <c r="Y16" s="35">
        <v>0</v>
      </c>
      <c r="Z16" s="34">
        <v>0</v>
      </c>
      <c r="AA16" s="35">
        <f t="shared" si="3"/>
        <v>0</v>
      </c>
    </row>
    <row r="17" spans="1:28">
      <c r="A17" s="12">
        <f t="shared" si="4"/>
        <v>6</v>
      </c>
      <c r="B17" s="187"/>
      <c r="C17" s="213">
        <v>206</v>
      </c>
      <c r="D17" s="182">
        <v>206</v>
      </c>
      <c r="E17" s="122">
        <v>3.37</v>
      </c>
      <c r="F17" s="47">
        <v>3.37</v>
      </c>
      <c r="G17" s="47">
        <v>3.37</v>
      </c>
      <c r="H17" s="47">
        <v>3.37</v>
      </c>
      <c r="I17" s="47">
        <v>3.37</v>
      </c>
      <c r="J17" s="121">
        <v>3.37</v>
      </c>
      <c r="K17" s="166">
        <v>25.6</v>
      </c>
      <c r="L17" s="165">
        <v>25.64</v>
      </c>
      <c r="M17" s="177"/>
      <c r="N17" s="55"/>
      <c r="O17" s="55"/>
      <c r="P17" s="55"/>
      <c r="Q17" s="274" t="s">
        <v>19</v>
      </c>
      <c r="R17" s="37">
        <v>259.10000000000002</v>
      </c>
      <c r="S17" s="53">
        <f t="shared" si="0"/>
        <v>14.567705940639637</v>
      </c>
      <c r="T17" s="35">
        <v>2</v>
      </c>
      <c r="V17" s="35">
        <f t="shared" si="5"/>
        <v>6</v>
      </c>
      <c r="W17" s="160">
        <f t="shared" si="1"/>
        <v>0</v>
      </c>
      <c r="X17" s="35">
        <f t="shared" si="2"/>
        <v>0</v>
      </c>
      <c r="Y17" s="35">
        <v>0</v>
      </c>
      <c r="Z17" s="34">
        <v>0</v>
      </c>
      <c r="AA17" s="35">
        <f t="shared" si="3"/>
        <v>0</v>
      </c>
    </row>
    <row r="18" spans="1:28">
      <c r="A18" s="12">
        <f t="shared" si="4"/>
        <v>7</v>
      </c>
      <c r="B18" s="187"/>
      <c r="C18" s="213">
        <v>206</v>
      </c>
      <c r="D18" s="182">
        <v>206</v>
      </c>
      <c r="E18" s="122">
        <v>3.42</v>
      </c>
      <c r="F18" s="47">
        <v>3.43</v>
      </c>
      <c r="G18" s="47">
        <v>3.46</v>
      </c>
      <c r="H18" s="47">
        <v>3.46</v>
      </c>
      <c r="I18" s="47">
        <v>3.41</v>
      </c>
      <c r="J18" s="121">
        <v>3.42</v>
      </c>
      <c r="K18" s="166">
        <v>25.65</v>
      </c>
      <c r="L18" s="165">
        <v>25.74</v>
      </c>
      <c r="M18" s="177"/>
      <c r="N18" s="55"/>
      <c r="O18" s="55"/>
      <c r="P18" s="55"/>
      <c r="Q18" s="187"/>
      <c r="R18" s="37">
        <v>261.39999999999998</v>
      </c>
      <c r="S18" s="53">
        <f t="shared" si="0"/>
        <v>14.383804474463707</v>
      </c>
      <c r="T18" s="35">
        <v>2</v>
      </c>
      <c r="V18" s="35">
        <f t="shared" si="5"/>
        <v>7</v>
      </c>
      <c r="W18" s="160">
        <f t="shared" si="1"/>
        <v>4.9999999999999822E-2</v>
      </c>
      <c r="X18" s="35">
        <f t="shared" si="2"/>
        <v>0</v>
      </c>
      <c r="Y18" s="35">
        <v>0</v>
      </c>
      <c r="Z18" s="34">
        <v>0</v>
      </c>
      <c r="AA18" s="35">
        <f t="shared" si="3"/>
        <v>0</v>
      </c>
    </row>
    <row r="19" spans="1:28">
      <c r="A19" s="12">
        <f t="shared" si="4"/>
        <v>8</v>
      </c>
      <c r="B19" s="187"/>
      <c r="C19" s="213">
        <v>206</v>
      </c>
      <c r="D19" s="182">
        <v>206</v>
      </c>
      <c r="E19" s="122">
        <v>3.43</v>
      </c>
      <c r="F19" s="47">
        <v>3.43</v>
      </c>
      <c r="G19" s="47">
        <v>3.46</v>
      </c>
      <c r="H19" s="47">
        <v>3.45</v>
      </c>
      <c r="I19" s="47">
        <v>3.42</v>
      </c>
      <c r="J19" s="121">
        <v>3.42</v>
      </c>
      <c r="K19" s="166">
        <v>25.67</v>
      </c>
      <c r="L19" s="165">
        <v>25.67</v>
      </c>
      <c r="M19" s="177"/>
      <c r="N19" s="55"/>
      <c r="O19" s="55"/>
      <c r="P19" s="55"/>
      <c r="Q19" s="187"/>
      <c r="R19" s="37">
        <v>262.5</v>
      </c>
      <c r="S19" s="53">
        <f t="shared" si="0"/>
        <v>14.451385201606485</v>
      </c>
      <c r="T19" s="35">
        <v>2</v>
      </c>
      <c r="V19" s="35">
        <f t="shared" si="5"/>
        <v>8</v>
      </c>
      <c r="W19" s="160">
        <f t="shared" si="1"/>
        <v>4.0000000000000036E-2</v>
      </c>
      <c r="X19" s="35">
        <f t="shared" si="2"/>
        <v>0</v>
      </c>
      <c r="Y19" s="35">
        <v>0</v>
      </c>
      <c r="Z19" s="34">
        <v>0</v>
      </c>
      <c r="AA19" s="35">
        <f t="shared" si="3"/>
        <v>0</v>
      </c>
    </row>
    <row r="20" spans="1:28">
      <c r="A20" s="12">
        <f t="shared" si="4"/>
        <v>9</v>
      </c>
      <c r="B20" s="187"/>
      <c r="C20" s="213">
        <v>206</v>
      </c>
      <c r="D20" s="182">
        <v>206</v>
      </c>
      <c r="E20" s="122">
        <v>3.42</v>
      </c>
      <c r="F20" s="47">
        <v>3.42</v>
      </c>
      <c r="G20" s="47">
        <v>3.45</v>
      </c>
      <c r="H20" s="47">
        <v>3.45</v>
      </c>
      <c r="I20" s="47">
        <v>3.43</v>
      </c>
      <c r="J20" s="121">
        <v>3.44</v>
      </c>
      <c r="K20" s="166">
        <v>25.68</v>
      </c>
      <c r="L20" s="165">
        <v>25.67</v>
      </c>
      <c r="M20" s="177"/>
      <c r="N20" s="55"/>
      <c r="O20" s="55"/>
      <c r="P20" s="55"/>
      <c r="Q20" s="187"/>
      <c r="R20" s="37">
        <v>261.89999999999998</v>
      </c>
      <c r="S20" s="53">
        <f t="shared" si="0"/>
        <v>14.415545605489861</v>
      </c>
      <c r="T20" s="35">
        <v>2</v>
      </c>
      <c r="V20" s="35">
        <f t="shared" si="5"/>
        <v>9</v>
      </c>
      <c r="W20" s="160">
        <f t="shared" si="1"/>
        <v>3.0000000000000249E-2</v>
      </c>
      <c r="X20" s="35">
        <f t="shared" si="2"/>
        <v>0</v>
      </c>
      <c r="Y20" s="35">
        <v>0</v>
      </c>
      <c r="Z20" s="34">
        <v>0</v>
      </c>
      <c r="AA20" s="35">
        <f t="shared" si="3"/>
        <v>0</v>
      </c>
    </row>
    <row r="21" spans="1:28">
      <c r="A21" s="44">
        <f t="shared" si="4"/>
        <v>10</v>
      </c>
      <c r="B21" s="187"/>
      <c r="C21" s="213">
        <v>205</v>
      </c>
      <c r="D21" s="182">
        <v>205</v>
      </c>
      <c r="E21" s="122">
        <v>3.45</v>
      </c>
      <c r="F21" s="47">
        <v>3.45</v>
      </c>
      <c r="G21" s="47">
        <v>3.45</v>
      </c>
      <c r="H21" s="47">
        <v>3.46</v>
      </c>
      <c r="I21" s="47">
        <v>3.41</v>
      </c>
      <c r="J21" s="121">
        <v>3.42</v>
      </c>
      <c r="K21" s="166">
        <v>25.68</v>
      </c>
      <c r="L21" s="165">
        <v>25.62</v>
      </c>
      <c r="M21" s="177"/>
      <c r="N21" s="55"/>
      <c r="O21" s="55"/>
      <c r="P21" s="55"/>
      <c r="Q21" s="187"/>
      <c r="R21" s="37">
        <v>261</v>
      </c>
      <c r="S21" s="53">
        <f t="shared" si="0"/>
        <v>14.42915285946005</v>
      </c>
      <c r="T21" s="35">
        <v>2</v>
      </c>
      <c r="V21" s="172">
        <f t="shared" si="5"/>
        <v>10</v>
      </c>
      <c r="W21" s="160">
        <f t="shared" si="1"/>
        <v>4.9999999999999822E-2</v>
      </c>
      <c r="X21" s="35">
        <f t="shared" si="2"/>
        <v>0</v>
      </c>
      <c r="Y21" s="35">
        <v>0</v>
      </c>
      <c r="Z21" s="34">
        <v>0</v>
      </c>
      <c r="AA21" s="35">
        <f t="shared" si="3"/>
        <v>0</v>
      </c>
      <c r="AB21" t="s">
        <v>101</v>
      </c>
    </row>
    <row r="22" spans="1:28">
      <c r="A22" s="71">
        <f t="shared" si="4"/>
        <v>11</v>
      </c>
      <c r="B22" s="261"/>
      <c r="C22" s="210">
        <v>205</v>
      </c>
      <c r="D22" s="209">
        <v>205</v>
      </c>
      <c r="E22" s="285">
        <v>3.44</v>
      </c>
      <c r="F22" s="75">
        <v>3.44</v>
      </c>
      <c r="G22" s="75">
        <v>3.46</v>
      </c>
      <c r="H22" s="75">
        <v>3.45</v>
      </c>
      <c r="I22" s="75">
        <v>3.42</v>
      </c>
      <c r="J22" s="195">
        <v>3.42</v>
      </c>
      <c r="K22" s="157">
        <v>25.65</v>
      </c>
      <c r="L22" s="156">
        <v>25.62</v>
      </c>
      <c r="M22" s="295"/>
      <c r="N22" s="76"/>
      <c r="O22" s="76"/>
      <c r="P22" s="76"/>
      <c r="Q22" s="261"/>
      <c r="R22" s="21">
        <v>259.89999999999998</v>
      </c>
      <c r="S22" s="72">
        <f t="shared" si="0"/>
        <v>14.383716647644603</v>
      </c>
      <c r="T22" s="19">
        <v>2</v>
      </c>
      <c r="V22" s="19">
        <f t="shared" si="5"/>
        <v>11</v>
      </c>
      <c r="W22" s="160">
        <f t="shared" si="1"/>
        <v>4.0000000000000036E-2</v>
      </c>
      <c r="X22" s="19">
        <f t="shared" si="2"/>
        <v>0</v>
      </c>
      <c r="Y22" s="19">
        <v>0</v>
      </c>
      <c r="Z22" s="18">
        <v>0</v>
      </c>
      <c r="AA22" s="19">
        <f t="shared" si="3"/>
        <v>0</v>
      </c>
    </row>
    <row r="23" spans="1:28" s="16" customFormat="1">
      <c r="Y23" s="16">
        <f>SUM(Y12:Y22)</f>
        <v>0</v>
      </c>
      <c r="Z23" s="16">
        <f>SUM(Z12:Z22)</f>
        <v>0</v>
      </c>
      <c r="AA23" s="16">
        <f>SUM(AA12:AA22)</f>
        <v>0</v>
      </c>
    </row>
    <row r="25" spans="1:28">
      <c r="A25" s="12" t="s">
        <v>17</v>
      </c>
      <c r="C25" s="1" t="s">
        <v>16</v>
      </c>
      <c r="E25" s="1" t="s">
        <v>15</v>
      </c>
      <c r="K25" s="1" t="s">
        <v>14</v>
      </c>
      <c r="R25" s="1" t="s">
        <v>13</v>
      </c>
      <c r="S25" s="1" t="s">
        <v>12</v>
      </c>
    </row>
    <row r="26" spans="1:28">
      <c r="A26" s="12"/>
    </row>
    <row r="27" spans="1:28">
      <c r="A27" s="1" t="s">
        <v>11</v>
      </c>
      <c r="C27" s="1">
        <f>8*25.4</f>
        <v>203.2</v>
      </c>
      <c r="E27" s="1">
        <f>C6</f>
        <v>3.1749999999999998</v>
      </c>
      <c r="K27" s="11">
        <v>25.4</v>
      </c>
      <c r="S27" s="1">
        <v>14.49</v>
      </c>
      <c r="T27" s="1" t="s">
        <v>100</v>
      </c>
    </row>
    <row r="28" spans="1:28">
      <c r="A28" s="1" t="s">
        <v>10</v>
      </c>
      <c r="C28" s="1">
        <f>MODE(C12:D22)</f>
        <v>206</v>
      </c>
      <c r="E28" s="1">
        <f>MODE(E12:J22)</f>
        <v>3.42</v>
      </c>
      <c r="K28" s="1">
        <f>MODE(K12:L22)</f>
        <v>25.68</v>
      </c>
      <c r="R28" s="9">
        <f>AVERAGE(R12:R22)</f>
        <v>261</v>
      </c>
      <c r="S28" s="9">
        <f>AVERAGE(S12:S22)</f>
        <v>14.434191370856372</v>
      </c>
      <c r="T28" s="9"/>
    </row>
    <row r="29" spans="1:28">
      <c r="A29" s="1" t="s">
        <v>9</v>
      </c>
      <c r="C29" s="10">
        <f>AVERAGE(C12:D22)</f>
        <v>205.81818181818181</v>
      </c>
      <c r="D29" s="10"/>
      <c r="E29" s="7">
        <f>AVERAGE(E12:J22)</f>
        <v>3.4239393939393925</v>
      </c>
      <c r="K29" s="6">
        <f>AVERAGE(K12:L22)</f>
        <v>25.659545454545455</v>
      </c>
      <c r="R29" s="1">
        <f>STDEV(R12:R22)</f>
        <v>1.2521980673998829</v>
      </c>
      <c r="S29" s="1">
        <f>STDEV(S12:S22)</f>
        <v>5.8483357853843031E-2</v>
      </c>
    </row>
    <row r="30" spans="1:28">
      <c r="A30" s="1" t="s">
        <v>8</v>
      </c>
      <c r="C30" s="1">
        <f>STDEV(C12:D22)</f>
        <v>0.39477101697586137</v>
      </c>
      <c r="E30" s="1">
        <f>STDEV(E12:J22)</f>
        <v>2.7949338116769432E-2</v>
      </c>
      <c r="K30" s="1">
        <f>STDEV(K12:L22)</f>
        <v>2.8531899061738621E-2</v>
      </c>
      <c r="R30" s="1">
        <f>R28+R29</f>
        <v>262.25219806739989</v>
      </c>
      <c r="S30" s="9">
        <f>S28+S29</f>
        <v>14.492674728710215</v>
      </c>
    </row>
    <row r="31" spans="1:28">
      <c r="A31" s="8" t="s">
        <v>7</v>
      </c>
      <c r="E31" s="7">
        <f>E29+E30</f>
        <v>3.4518887320561618</v>
      </c>
      <c r="K31" s="6">
        <f>K29+K30</f>
        <v>25.688077353607195</v>
      </c>
      <c r="R31" s="1">
        <f>R28-R29</f>
        <v>259.74780193260011</v>
      </c>
      <c r="S31" s="9">
        <f>S28-S29</f>
        <v>14.375708013002528</v>
      </c>
    </row>
    <row r="32" spans="1:28">
      <c r="A32" s="8" t="s">
        <v>6</v>
      </c>
      <c r="E32" s="7">
        <f>E29-E30</f>
        <v>3.3959900558226233</v>
      </c>
      <c r="K32" s="6">
        <f>K29-K30</f>
        <v>25.631013555483715</v>
      </c>
    </row>
    <row r="33" spans="1:11">
      <c r="A33" s="1" t="s">
        <v>72</v>
      </c>
      <c r="C33" s="6">
        <f>MAX(C12:D22)-C27</f>
        <v>2.8000000000000114</v>
      </c>
      <c r="E33" s="7">
        <f>MAX(E12:J22)-E27</f>
        <v>0.28500000000000014</v>
      </c>
      <c r="K33" s="6">
        <f>MAX(K12:L22)-$K27</f>
        <v>0.33999999999999986</v>
      </c>
    </row>
    <row r="34" spans="1:11">
      <c r="A34" s="1" t="s">
        <v>71</v>
      </c>
      <c r="C34" s="6">
        <f>MIN(C12:D22)-C27</f>
        <v>1.8000000000000114</v>
      </c>
      <c r="E34" s="7">
        <f>MIN(E12:J22)-E27</f>
        <v>0.18500000000000005</v>
      </c>
      <c r="K34" s="6">
        <f>MIN(K12:L22)-K27</f>
        <v>0.20000000000000284</v>
      </c>
    </row>
    <row r="35" spans="1:11" ht="15" thickBot="1"/>
    <row r="36" spans="1:11">
      <c r="A36" s="1" t="s">
        <v>3</v>
      </c>
      <c r="C36" s="5" t="s">
        <v>2</v>
      </c>
      <c r="D36" s="5" t="s">
        <v>1</v>
      </c>
      <c r="F36" s="7"/>
    </row>
    <row r="37" spans="1:11">
      <c r="A37" s="1">
        <f>3.35</f>
        <v>3.35</v>
      </c>
      <c r="C37" s="4">
        <v>3.35</v>
      </c>
      <c r="D37" s="3">
        <v>0</v>
      </c>
      <c r="F37" s="7"/>
    </row>
    <row r="38" spans="1:11">
      <c r="A38" s="1">
        <f t="shared" ref="A38:A49" si="6">A37+0.01</f>
        <v>3.36</v>
      </c>
      <c r="C38" s="4">
        <v>3.36</v>
      </c>
      <c r="D38" s="3">
        <v>1</v>
      </c>
    </row>
    <row r="39" spans="1:11">
      <c r="A39" s="1">
        <f t="shared" si="6"/>
        <v>3.3699999999999997</v>
      </c>
      <c r="C39" s="4">
        <v>3.3699999999999997</v>
      </c>
      <c r="D39" s="3">
        <v>0</v>
      </c>
    </row>
    <row r="40" spans="1:11">
      <c r="A40" s="1">
        <f t="shared" si="6"/>
        <v>3.3799999999999994</v>
      </c>
      <c r="C40" s="4">
        <v>3.3799999999999994</v>
      </c>
      <c r="D40" s="3">
        <v>8</v>
      </c>
    </row>
    <row r="41" spans="1:11">
      <c r="A41" s="1">
        <f t="shared" si="6"/>
        <v>3.3899999999999992</v>
      </c>
      <c r="C41" s="4">
        <v>3.3899999999999992</v>
      </c>
      <c r="D41" s="3">
        <v>2</v>
      </c>
    </row>
    <row r="42" spans="1:11">
      <c r="A42" s="1">
        <f t="shared" si="6"/>
        <v>3.399999999999999</v>
      </c>
      <c r="C42" s="4">
        <v>3.399999999999999</v>
      </c>
      <c r="D42" s="3">
        <v>1</v>
      </c>
    </row>
    <row r="43" spans="1:11">
      <c r="A43" s="1">
        <f t="shared" si="6"/>
        <v>3.4099999999999988</v>
      </c>
      <c r="C43" s="4">
        <v>3.4099999999999988</v>
      </c>
      <c r="D43" s="3">
        <v>0</v>
      </c>
    </row>
    <row r="44" spans="1:11">
      <c r="A44" s="1">
        <f t="shared" si="6"/>
        <v>3.4199999999999986</v>
      </c>
      <c r="C44" s="4">
        <v>3.4199999999999986</v>
      </c>
      <c r="D44" s="3">
        <v>3</v>
      </c>
    </row>
    <row r="45" spans="1:11">
      <c r="A45" s="1">
        <f t="shared" si="6"/>
        <v>3.4299999999999984</v>
      </c>
      <c r="C45" s="4">
        <v>3.4299999999999984</v>
      </c>
      <c r="D45" s="3">
        <v>13</v>
      </c>
    </row>
    <row r="46" spans="1:11">
      <c r="A46" s="1">
        <f t="shared" si="6"/>
        <v>3.4399999999999982</v>
      </c>
      <c r="C46" s="4">
        <v>3.4399999999999982</v>
      </c>
      <c r="D46" s="3">
        <v>12</v>
      </c>
    </row>
    <row r="47" spans="1:11">
      <c r="A47" s="1">
        <f t="shared" si="6"/>
        <v>3.449999999999998</v>
      </c>
      <c r="C47" s="4">
        <v>3.449999999999998</v>
      </c>
      <c r="D47" s="3">
        <v>10</v>
      </c>
    </row>
    <row r="48" spans="1:11">
      <c r="A48" s="1">
        <f t="shared" si="6"/>
        <v>3.4599999999999977</v>
      </c>
      <c r="C48" s="4">
        <v>3.4599999999999977</v>
      </c>
      <c r="D48" s="3">
        <v>10</v>
      </c>
    </row>
    <row r="49" spans="1:4">
      <c r="A49" s="1">
        <f t="shared" si="6"/>
        <v>3.4699999999999975</v>
      </c>
      <c r="C49" s="4">
        <v>3.4699999999999975</v>
      </c>
      <c r="D49" s="3">
        <v>6</v>
      </c>
    </row>
    <row r="50" spans="1:4" ht="15" thickBot="1">
      <c r="C50" s="2" t="s">
        <v>0</v>
      </c>
      <c r="D50" s="2">
        <v>0</v>
      </c>
    </row>
  </sheetData>
  <mergeCells count="4">
    <mergeCell ref="C9:D9"/>
    <mergeCell ref="E9:I9"/>
    <mergeCell ref="K9:L9"/>
    <mergeCell ref="M9:P9"/>
  </mergeCells>
  <phoneticPr fontId="16" type="noConversion"/>
  <pageMargins left="0.25" right="0.25" top="0.25" bottom="0.25" header="0.3" footer="0.3"/>
  <pageSetup orientation="landscape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0"/>
  <sheetViews>
    <sheetView topLeftCell="A4" zoomScale="70" zoomScaleNormal="70" zoomScalePageLayoutView="70" workbookViewId="0">
      <selection activeCell="AC32" sqref="AC32"/>
    </sheetView>
  </sheetViews>
  <sheetFormatPr baseColWidth="10" defaultColWidth="8.83203125" defaultRowHeight="14" x14ac:dyDescent="0"/>
  <cols>
    <col min="1" max="1" width="6.33203125" style="1" customWidth="1"/>
    <col min="2" max="2" width="16.1640625" style="1" customWidth="1"/>
    <col min="3" max="3" width="6.1640625" style="1" customWidth="1"/>
    <col min="4" max="4" width="5.1640625" style="1" customWidth="1"/>
    <col min="5" max="9" width="6.83203125" style="1" customWidth="1"/>
    <col min="10" max="10" width="6.83203125" style="1" bestFit="1" customWidth="1"/>
    <col min="11" max="12" width="6.83203125" style="1" customWidth="1"/>
    <col min="13" max="16" width="3.6640625" style="1" customWidth="1"/>
    <col min="17" max="17" width="6.33203125" style="1" customWidth="1"/>
    <col min="18" max="18" width="4.6640625" style="1" customWidth="1"/>
    <col min="19" max="19" width="7" style="1" customWidth="1"/>
    <col min="20" max="20" width="5.1640625" style="1" customWidth="1"/>
    <col min="21" max="21" width="9.83203125" style="1" customWidth="1"/>
    <col min="22" max="16384" width="8.83203125" style="1"/>
  </cols>
  <sheetData>
    <row r="1" spans="1:29">
      <c r="A1" s="1" t="s">
        <v>49</v>
      </c>
      <c r="B1" s="79"/>
    </row>
    <row r="2" spans="1:29">
      <c r="A2" s="1" t="s">
        <v>48</v>
      </c>
      <c r="B2" s="79"/>
    </row>
    <row r="3" spans="1:29">
      <c r="A3" s="1" t="s">
        <v>47</v>
      </c>
      <c r="B3" s="79"/>
    </row>
    <row r="4" spans="1:29">
      <c r="B4" s="79"/>
    </row>
    <row r="5" spans="1:29">
      <c r="B5" s="1" t="s">
        <v>46</v>
      </c>
      <c r="C5" s="1" t="s">
        <v>45</v>
      </c>
    </row>
    <row r="6" spans="1:29">
      <c r="A6" s="1" t="s">
        <v>104</v>
      </c>
      <c r="B6" s="12">
        <v>0.25</v>
      </c>
      <c r="C6" s="1">
        <f>B6*25.4</f>
        <v>6.35</v>
      </c>
      <c r="D6" s="79"/>
      <c r="E6" s="79"/>
      <c r="F6" s="79"/>
      <c r="G6" s="79"/>
      <c r="H6" s="80"/>
      <c r="I6" s="79"/>
      <c r="J6" s="79"/>
      <c r="K6" s="79"/>
      <c r="L6" s="79"/>
      <c r="M6" s="79"/>
      <c r="N6" s="79"/>
      <c r="O6" s="79"/>
      <c r="P6" s="79"/>
      <c r="Q6" s="79"/>
    </row>
    <row r="7" spans="1:29">
      <c r="B7" s="12"/>
      <c r="D7" s="79"/>
      <c r="E7" s="79"/>
      <c r="F7" s="79"/>
      <c r="G7" s="79"/>
      <c r="H7" s="80">
        <f>MIN(E12:J12,F13:J13,E14:J14,E15:E16,F16:J16,G15:I15)</f>
        <v>6.61</v>
      </c>
      <c r="I7" s="79"/>
      <c r="J7" s="79"/>
      <c r="K7" s="79"/>
      <c r="L7" s="79"/>
      <c r="M7" s="79"/>
      <c r="N7" s="79"/>
      <c r="O7" s="79"/>
      <c r="P7" s="79"/>
      <c r="Q7" s="79"/>
    </row>
    <row r="8" spans="1:29">
      <c r="A8" s="1" t="s">
        <v>54</v>
      </c>
      <c r="B8" s="79"/>
      <c r="C8" s="79"/>
      <c r="D8" s="79"/>
      <c r="E8" s="79"/>
      <c r="F8" s="79"/>
      <c r="G8" s="79"/>
      <c r="H8" s="79"/>
      <c r="I8" s="79"/>
      <c r="J8" s="79"/>
      <c r="K8" s="79"/>
      <c r="L8" s="79"/>
      <c r="M8" s="79"/>
      <c r="N8" s="79"/>
      <c r="O8" s="79"/>
      <c r="P8" s="79"/>
      <c r="Q8" s="79"/>
      <c r="X8" s="221" t="s">
        <v>42</v>
      </c>
      <c r="Z8" s="221"/>
    </row>
    <row r="9" spans="1:29" ht="42">
      <c r="A9" s="71" t="s">
        <v>32</v>
      </c>
      <c r="B9" s="76" t="s">
        <v>41</v>
      </c>
      <c r="C9" s="386" t="s">
        <v>40</v>
      </c>
      <c r="D9" s="387"/>
      <c r="E9" s="385" t="s">
        <v>39</v>
      </c>
      <c r="F9" s="385"/>
      <c r="G9" s="385"/>
      <c r="H9" s="385"/>
      <c r="I9" s="385"/>
      <c r="J9" s="75"/>
      <c r="K9" s="386" t="s">
        <v>38</v>
      </c>
      <c r="L9" s="387"/>
      <c r="M9" s="386" t="s">
        <v>37</v>
      </c>
      <c r="N9" s="384"/>
      <c r="O9" s="384"/>
      <c r="P9" s="384"/>
      <c r="Q9" s="74" t="s">
        <v>36</v>
      </c>
      <c r="R9" s="204" t="s">
        <v>70</v>
      </c>
      <c r="S9" s="203" t="s">
        <v>69</v>
      </c>
      <c r="T9" s="19" t="s">
        <v>33</v>
      </c>
      <c r="W9" s="19" t="s">
        <v>32</v>
      </c>
      <c r="X9" s="253" t="s">
        <v>58</v>
      </c>
      <c r="Y9" s="69" t="s">
        <v>31</v>
      </c>
      <c r="Z9" s="68" t="s">
        <v>30</v>
      </c>
      <c r="AA9" s="19" t="s">
        <v>29</v>
      </c>
      <c r="AB9" s="67" t="s">
        <v>51</v>
      </c>
      <c r="AC9" s="67" t="s">
        <v>27</v>
      </c>
    </row>
    <row r="10" spans="1:29">
      <c r="A10" s="16"/>
      <c r="B10" s="217"/>
      <c r="C10" s="219">
        <v>1</v>
      </c>
      <c r="D10" s="217">
        <v>2</v>
      </c>
      <c r="E10" s="219">
        <v>1</v>
      </c>
      <c r="F10" s="218">
        <v>2</v>
      </c>
      <c r="G10" s="218">
        <v>3</v>
      </c>
      <c r="H10" s="218">
        <v>4</v>
      </c>
      <c r="I10" s="218">
        <v>5</v>
      </c>
      <c r="J10" s="217">
        <v>6</v>
      </c>
      <c r="K10" s="219">
        <v>1</v>
      </c>
      <c r="L10" s="217">
        <v>2</v>
      </c>
      <c r="M10" s="219">
        <v>1</v>
      </c>
      <c r="N10" s="218">
        <v>2</v>
      </c>
      <c r="O10" s="218">
        <v>3</v>
      </c>
      <c r="P10" s="218">
        <v>4</v>
      </c>
      <c r="Q10" s="217"/>
      <c r="R10" s="219"/>
      <c r="S10" s="215"/>
      <c r="T10" s="35"/>
      <c r="W10" s="35"/>
      <c r="X10" s="35"/>
      <c r="Y10" s="52"/>
      <c r="Z10" s="59"/>
      <c r="AA10" s="59"/>
      <c r="AB10" s="35"/>
    </row>
    <row r="11" spans="1:29">
      <c r="A11" s="12"/>
      <c r="B11" s="187"/>
      <c r="C11" s="177"/>
      <c r="D11" s="187"/>
      <c r="E11" s="122"/>
      <c r="F11" s="47"/>
      <c r="G11" s="47"/>
      <c r="H11" s="47"/>
      <c r="I11" s="47"/>
      <c r="J11" s="121"/>
      <c r="K11" s="177"/>
      <c r="L11" s="187"/>
      <c r="M11" s="177"/>
      <c r="N11" s="55"/>
      <c r="O11" s="55"/>
      <c r="P11" s="55"/>
      <c r="Q11" s="187"/>
      <c r="R11" s="56"/>
      <c r="S11" s="54"/>
      <c r="T11" s="35"/>
      <c r="W11" s="35"/>
      <c r="X11" s="35"/>
      <c r="Y11" s="52"/>
      <c r="Z11" s="35"/>
      <c r="AA11" s="35"/>
      <c r="AB11" s="35"/>
    </row>
    <row r="12" spans="1:29">
      <c r="A12" s="12">
        <v>1</v>
      </c>
      <c r="B12" s="187"/>
      <c r="C12" s="213">
        <v>205</v>
      </c>
      <c r="D12" s="182">
        <v>205</v>
      </c>
      <c r="E12" s="122">
        <v>6.63</v>
      </c>
      <c r="F12" s="47">
        <v>6.62</v>
      </c>
      <c r="G12" s="47">
        <v>6.66</v>
      </c>
      <c r="H12" s="47">
        <v>6.69</v>
      </c>
      <c r="I12" s="47">
        <v>6.63</v>
      </c>
      <c r="J12" s="121">
        <v>6.66</v>
      </c>
      <c r="K12" s="166">
        <v>25.71</v>
      </c>
      <c r="L12" s="165">
        <v>25.73</v>
      </c>
      <c r="M12" s="177"/>
      <c r="N12" s="55"/>
      <c r="O12" s="55"/>
      <c r="P12" s="55"/>
      <c r="Q12" s="187"/>
      <c r="R12" s="56">
        <v>500.5</v>
      </c>
      <c r="S12" s="212">
        <f>R12/(AVERAGE(C12:D12)*AVERAGE(E12:J12)*AVERAGE(K12:L12)*0.001)</f>
        <v>14.277970179857828</v>
      </c>
      <c r="T12" s="35">
        <v>2</v>
      </c>
      <c r="W12" s="35">
        <v>1</v>
      </c>
      <c r="X12" s="160">
        <f>MAX(E12:J12)-MIN(E12:J12)</f>
        <v>7.0000000000000284E-2</v>
      </c>
      <c r="Y12" s="35">
        <f>IF(OR(ABS(E12-$C$6)&gt;($C$6*0.1),ABS(F12-$C$6)&gt;($C$6*0.1),ABS(G12-$C$6)&gt;($C$6*0.1),ABS(H12-$C$6)&gt;($C$6*0.1),ABS(I12-$C$6)&gt;($C$6*0.1),ABS(J12-$C$6)&gt;($C$6*0.1)),1,0)</f>
        <v>0</v>
      </c>
      <c r="Z12" s="35">
        <v>0</v>
      </c>
      <c r="AA12" s="34">
        <v>0</v>
      </c>
      <c r="AB12" s="35">
        <f>IF(OR(M12="Y",N12="Y",O12="Y",P12="Y"),1,0)</f>
        <v>0</v>
      </c>
    </row>
    <row r="13" spans="1:29">
      <c r="A13" s="12">
        <f>A12+1</f>
        <v>2</v>
      </c>
      <c r="B13" s="187"/>
      <c r="C13" s="213">
        <v>205</v>
      </c>
      <c r="D13" s="182">
        <v>205</v>
      </c>
      <c r="E13" s="122">
        <v>6.58</v>
      </c>
      <c r="F13" s="47">
        <v>6.62</v>
      </c>
      <c r="G13" s="47">
        <v>6.63</v>
      </c>
      <c r="H13" s="47">
        <v>6.66</v>
      </c>
      <c r="I13" s="47">
        <v>6.61</v>
      </c>
      <c r="J13" s="121">
        <v>6.63</v>
      </c>
      <c r="K13" s="166">
        <v>25.76</v>
      </c>
      <c r="L13" s="165">
        <v>25.79</v>
      </c>
      <c r="M13" s="177"/>
      <c r="N13" s="55"/>
      <c r="O13" s="55"/>
      <c r="P13" s="55"/>
      <c r="Q13" s="187"/>
      <c r="R13" s="56">
        <v>498.3</v>
      </c>
      <c r="S13" s="212">
        <f>R13/(AVERAGE(C13:D13)*AVERAGE(E13:J13)*AVERAGE(K13:L13)*0.001)</f>
        <v>14.242001838210481</v>
      </c>
      <c r="T13" s="35">
        <v>2</v>
      </c>
      <c r="W13" s="35">
        <f>W12+1</f>
        <v>2</v>
      </c>
      <c r="X13" s="160">
        <f>MAX(E13:J13)-MIN(E13:J13)</f>
        <v>8.0000000000000071E-2</v>
      </c>
      <c r="Y13" s="35">
        <f>IF(OR(ABS(E13-$C$6)&gt;($C$6*0.1),ABS(F13-$C$6)&gt;($C$6*0.1),ABS(G13-$C$6)&gt;($C$6*0.1),ABS(H13-$C$6)&gt;($C$6*0.1),ABS(I13-$C$6)&gt;($C$6*0.1),ABS(J13-$C$6)&gt;($C$6*0.1)),1,0)</f>
        <v>0</v>
      </c>
      <c r="Z13" s="35">
        <v>0</v>
      </c>
      <c r="AA13" s="34">
        <v>0</v>
      </c>
      <c r="AB13" s="35">
        <f>IF(OR(M13="Y",N13="Y",O13="Y",P13="Y"),1,0)</f>
        <v>0</v>
      </c>
    </row>
    <row r="14" spans="1:29">
      <c r="A14" s="44">
        <f>A13+1</f>
        <v>3</v>
      </c>
      <c r="B14" s="187"/>
      <c r="C14" s="213">
        <v>205</v>
      </c>
      <c r="D14" s="182">
        <v>205</v>
      </c>
      <c r="E14" s="122">
        <v>6.67</v>
      </c>
      <c r="F14" s="47">
        <v>6.7</v>
      </c>
      <c r="G14" s="47">
        <v>6.7</v>
      </c>
      <c r="H14" s="47">
        <v>6.72</v>
      </c>
      <c r="I14" s="47">
        <v>6.61</v>
      </c>
      <c r="J14" s="121">
        <v>6.65</v>
      </c>
      <c r="K14" s="166">
        <v>25.7</v>
      </c>
      <c r="L14" s="165">
        <v>25.67</v>
      </c>
      <c r="M14" s="177"/>
      <c r="N14" s="55"/>
      <c r="O14" s="55"/>
      <c r="P14" s="55"/>
      <c r="Q14" s="187"/>
      <c r="R14" s="56">
        <v>501.4</v>
      </c>
      <c r="S14" s="212">
        <f>R14/(AVERAGE(C14:D14)*AVERAGE(E14:J14)*AVERAGE(K14:L14)*0.001)</f>
        <v>14.2659148822581</v>
      </c>
      <c r="T14" s="35">
        <v>2</v>
      </c>
      <c r="W14" s="172">
        <f>W13+1</f>
        <v>3</v>
      </c>
      <c r="X14" s="160">
        <f>MAX(E14:J14)-MIN(E14:J14)</f>
        <v>0.10999999999999943</v>
      </c>
      <c r="Y14" s="35">
        <f>IF(OR(ABS(E14-$C$6)&gt;($C$6*0.1),ABS(F14-$C$6)&gt;($C$6*0.1),ABS(G14-$C$6)&gt;($C$6*0.1),ABS(H14-$C$6)&gt;($C$6*0.1),ABS(I14-$C$6)&gt;($C$6*0.1),ABS(J14-$C$6)&gt;($C$6*0.1)),1,0)</f>
        <v>0</v>
      </c>
      <c r="Z14" s="35">
        <v>0</v>
      </c>
      <c r="AA14" s="34">
        <v>0</v>
      </c>
      <c r="AB14" s="35">
        <f>IF(OR(M14="Y",N14="Y",O14="Y",P14="Y"),1,0)</f>
        <v>0</v>
      </c>
      <c r="AC14" t="s">
        <v>103</v>
      </c>
    </row>
    <row r="15" spans="1:29">
      <c r="A15" s="12">
        <f>A14+1</f>
        <v>4</v>
      </c>
      <c r="B15" s="187"/>
      <c r="C15" s="213">
        <v>205</v>
      </c>
      <c r="D15" s="182">
        <v>205</v>
      </c>
      <c r="E15" s="122">
        <v>6.61</v>
      </c>
      <c r="F15" s="47">
        <v>6.58</v>
      </c>
      <c r="G15" s="47">
        <v>6.67</v>
      </c>
      <c r="H15" s="47">
        <v>6.64</v>
      </c>
      <c r="I15" s="47">
        <v>6.62</v>
      </c>
      <c r="J15" s="121">
        <v>6.58</v>
      </c>
      <c r="K15" s="166">
        <v>25.74</v>
      </c>
      <c r="L15" s="165">
        <v>25.74</v>
      </c>
      <c r="M15" s="177"/>
      <c r="N15" s="55"/>
      <c r="O15" s="55"/>
      <c r="P15" s="55"/>
      <c r="Q15" s="187"/>
      <c r="R15" s="56">
        <v>498.6</v>
      </c>
      <c r="S15" s="212">
        <f>R15/(AVERAGE(C15:D15)*AVERAGE(E15:J15)*AVERAGE(K15:L15)*0.001)</f>
        <v>14.280736772596454</v>
      </c>
      <c r="T15" s="35">
        <v>2</v>
      </c>
      <c r="W15" s="35">
        <f>W14+1</f>
        <v>4</v>
      </c>
      <c r="X15" s="160">
        <f>MAX(E15:J15)-MIN(E15:J15)</f>
        <v>8.9999999999999858E-2</v>
      </c>
      <c r="Y15" s="35">
        <f>IF(OR(ABS(E15-$C$6)&gt;($C$6*0.1),ABS(F15-$C$6)&gt;($C$6*0.1),ABS(G15-$C$6)&gt;($C$6*0.1),ABS(H15-$C$6)&gt;($C$6*0.1),ABS(I15-$C$6)&gt;($C$6*0.1),ABS(J15-$C$6)&gt;($C$6*0.1)),1,0)</f>
        <v>0</v>
      </c>
      <c r="Z15" s="35">
        <v>0</v>
      </c>
      <c r="AA15" s="34">
        <v>0</v>
      </c>
      <c r="AB15" s="35">
        <f>IF(OR(M15="Y",N15="Y",O15="Y",P15="Y"),1,0)</f>
        <v>0</v>
      </c>
    </row>
    <row r="16" spans="1:29">
      <c r="A16" s="71">
        <f>A15+1</f>
        <v>5</v>
      </c>
      <c r="B16" s="261"/>
      <c r="C16" s="210">
        <v>205</v>
      </c>
      <c r="D16" s="209">
        <v>205</v>
      </c>
      <c r="E16" s="285">
        <v>6.7</v>
      </c>
      <c r="F16" s="75">
        <v>6.63</v>
      </c>
      <c r="G16" s="75">
        <v>6.71</v>
      </c>
      <c r="H16" s="75">
        <v>6.69</v>
      </c>
      <c r="I16" s="75">
        <v>6.64</v>
      </c>
      <c r="J16" s="195">
        <v>6.62</v>
      </c>
      <c r="K16" s="157">
        <v>25.72</v>
      </c>
      <c r="L16" s="156">
        <v>25.7</v>
      </c>
      <c r="M16" s="295"/>
      <c r="N16" s="76"/>
      <c r="O16" s="76"/>
      <c r="P16" s="76"/>
      <c r="Q16" s="261"/>
      <c r="R16" s="220">
        <v>501.8</v>
      </c>
      <c r="S16" s="207">
        <f>R16/(AVERAGE(C16:D16)*AVERAGE(E16:J16)*AVERAGE(K16:L16)*0.001)</f>
        <v>14.284813198916886</v>
      </c>
      <c r="T16" s="19">
        <v>2</v>
      </c>
      <c r="W16" s="19">
        <f>W15+1</f>
        <v>5</v>
      </c>
      <c r="X16" s="160">
        <f>MAX(E16:J16)-MIN(E16:J16)</f>
        <v>8.9999999999999858E-2</v>
      </c>
      <c r="Y16" s="19">
        <f>IF(OR(ABS(E16-$C$6)&gt;($C$6*0.1),ABS(F16-$C$6)&gt;($C$6*0.1),ABS(G16-$C$6)&gt;($C$6*0.1),ABS(H16-$C$6)&gt;($C$6*0.1),ABS(I16-$C$6)&gt;($C$6*0.1),ABS(J16-$C$6)&gt;($C$6*0.1)),1,0)</f>
        <v>0</v>
      </c>
      <c r="Z16" s="19">
        <v>0</v>
      </c>
      <c r="AA16" s="18">
        <v>0</v>
      </c>
      <c r="AB16" s="19">
        <f>IF(OR(M16="Y",N16="Y",O16="Y",P16="Y"),1,0)</f>
        <v>0</v>
      </c>
    </row>
    <row r="17" spans="1:28" s="16" customFormat="1">
      <c r="B17" s="218"/>
      <c r="C17" s="301"/>
      <c r="D17" s="300"/>
      <c r="E17" s="299"/>
      <c r="F17" s="299"/>
      <c r="G17" s="299"/>
      <c r="H17" s="299"/>
      <c r="I17" s="299"/>
      <c r="J17" s="299"/>
      <c r="K17" s="298"/>
      <c r="L17" s="297"/>
      <c r="M17" s="218"/>
      <c r="N17" s="218"/>
      <c r="O17" s="218"/>
      <c r="P17" s="218"/>
      <c r="Q17" s="218"/>
      <c r="S17" s="281"/>
      <c r="Z17" s="16">
        <f>SUM(Z12:Z16)</f>
        <v>0</v>
      </c>
      <c r="AA17" s="16">
        <f>SUM(AA12:AA16)</f>
        <v>0</v>
      </c>
      <c r="AB17" s="16">
        <f>SUM(AB12:AB16)</f>
        <v>0</v>
      </c>
    </row>
    <row r="18" spans="1:28" s="12" customFormat="1">
      <c r="B18" s="55"/>
      <c r="C18" s="247"/>
      <c r="D18" s="248"/>
      <c r="E18" s="47"/>
      <c r="F18" s="47"/>
      <c r="G18" s="47"/>
      <c r="H18" s="47"/>
      <c r="I18" s="47"/>
      <c r="J18" s="47"/>
      <c r="K18" s="11"/>
      <c r="L18" s="199"/>
      <c r="M18" s="55"/>
      <c r="N18" s="55"/>
      <c r="O18" s="55"/>
      <c r="P18" s="55"/>
      <c r="Q18" s="55"/>
      <c r="S18" s="42"/>
    </row>
    <row r="19" spans="1:28">
      <c r="A19" s="12" t="s">
        <v>17</v>
      </c>
      <c r="C19" s="1" t="s">
        <v>16</v>
      </c>
      <c r="E19" s="1" t="s">
        <v>15</v>
      </c>
      <c r="K19" s="1" t="s">
        <v>14</v>
      </c>
      <c r="R19" s="1" t="s">
        <v>13</v>
      </c>
      <c r="S19" s="1" t="s">
        <v>12</v>
      </c>
    </row>
    <row r="20" spans="1:28">
      <c r="A20" s="12"/>
      <c r="B20" s="55"/>
      <c r="C20" s="247"/>
      <c r="D20" s="248"/>
      <c r="E20" s="80"/>
      <c r="F20" s="80"/>
      <c r="G20" s="80"/>
      <c r="H20" s="80"/>
      <c r="I20" s="80"/>
      <c r="J20" s="47"/>
      <c r="K20" s="11"/>
      <c r="L20" s="199"/>
      <c r="M20" s="79"/>
      <c r="N20" s="79"/>
      <c r="O20" s="55"/>
      <c r="P20" s="55"/>
      <c r="Q20" s="55"/>
      <c r="S20" s="7"/>
    </row>
    <row r="21" spans="1:28">
      <c r="A21" s="1" t="s">
        <v>11</v>
      </c>
      <c r="C21" s="1">
        <f>8*25.4</f>
        <v>203.2</v>
      </c>
      <c r="E21" s="1">
        <f>C6</f>
        <v>6.35</v>
      </c>
      <c r="K21" s="11">
        <v>25.4</v>
      </c>
    </row>
    <row r="22" spans="1:28">
      <c r="A22" s="1" t="s">
        <v>10</v>
      </c>
      <c r="C22" s="1">
        <f>MODE(C12:D16)</f>
        <v>205</v>
      </c>
      <c r="E22" s="1">
        <f>MODE(E12:J16)</f>
        <v>6.63</v>
      </c>
      <c r="K22" s="1">
        <f>MODE(K12:L16)</f>
        <v>25.7</v>
      </c>
    </row>
    <row r="23" spans="1:28">
      <c r="A23" s="1" t="s">
        <v>9</v>
      </c>
      <c r="C23" s="10">
        <f>AVERAGE(C12:D16)</f>
        <v>205</v>
      </c>
      <c r="D23" s="10"/>
      <c r="E23" s="7">
        <f>AVERAGE(E12:J16)</f>
        <v>6.6453333333333324</v>
      </c>
      <c r="K23" s="6">
        <f>AVERAGE(K12:L16)</f>
        <v>25.726000000000006</v>
      </c>
      <c r="R23" s="1">
        <f>AVERAGE(R12:R16)</f>
        <v>500.12</v>
      </c>
      <c r="S23" s="1">
        <f>AVERAGE(S12:S16)</f>
        <v>14.27028737436795</v>
      </c>
    </row>
    <row r="24" spans="1:28">
      <c r="A24" s="1" t="s">
        <v>8</v>
      </c>
      <c r="C24" s="1">
        <f>STDEV(C12:D16)</f>
        <v>0</v>
      </c>
      <c r="E24" s="1">
        <f>STDEV(E12:J16)</f>
        <v>3.936857957142046E-2</v>
      </c>
      <c r="K24" s="1">
        <f>STDEV(K12:L16)</f>
        <v>3.4058772731852448E-2</v>
      </c>
      <c r="R24" s="1">
        <f>STDEV(R12:R16)</f>
        <v>1.5990622251807363</v>
      </c>
      <c r="S24" s="1">
        <f>STDEV(S12:S16)</f>
        <v>1.7308995098833997E-2</v>
      </c>
    </row>
    <row r="25" spans="1:28">
      <c r="A25" s="8" t="s">
        <v>7</v>
      </c>
      <c r="E25" s="7">
        <f>E23+E24</f>
        <v>6.6847019129047531</v>
      </c>
      <c r="K25" s="6">
        <f>K23+K24</f>
        <v>25.76005877273186</v>
      </c>
      <c r="R25" s="1">
        <f>R23+R24</f>
        <v>501.71906222518072</v>
      </c>
    </row>
    <row r="26" spans="1:28">
      <c r="A26" s="8" t="s">
        <v>6</v>
      </c>
      <c r="E26" s="7">
        <f>E23-E24</f>
        <v>6.6059647537619117</v>
      </c>
      <c r="K26" s="6">
        <f>K23-K24</f>
        <v>25.691941227268153</v>
      </c>
      <c r="R26" s="1">
        <f>R23-R24</f>
        <v>498.52093777481929</v>
      </c>
    </row>
    <row r="27" spans="1:28">
      <c r="A27" s="1" t="s">
        <v>72</v>
      </c>
      <c r="C27" s="6">
        <f>MAX(C12:D16)-C21</f>
        <v>1.8000000000000114</v>
      </c>
      <c r="E27" s="7">
        <f>MAX(E12:J16)-E21</f>
        <v>0.37000000000000011</v>
      </c>
      <c r="K27" s="6">
        <f>MAX(K12:L16)-$K21</f>
        <v>0.39000000000000057</v>
      </c>
    </row>
    <row r="28" spans="1:28">
      <c r="A28" s="1" t="s">
        <v>71</v>
      </c>
      <c r="C28" s="6">
        <f>MIN(C12:D16)-C21</f>
        <v>1.8000000000000114</v>
      </c>
      <c r="E28" s="7">
        <f>MIN(E12:J16)-E21</f>
        <v>0.23000000000000043</v>
      </c>
      <c r="K28" s="6">
        <f>MIN(K12:L16)-K21</f>
        <v>0.27000000000000313</v>
      </c>
    </row>
    <row r="29" spans="1:28" ht="15" thickBot="1">
      <c r="E29" s="7"/>
      <c r="F29" s="7"/>
      <c r="G29" s="7"/>
      <c r="H29" s="7"/>
      <c r="I29" s="7"/>
      <c r="J29" s="7"/>
      <c r="K29" s="6"/>
      <c r="L29" s="6"/>
    </row>
    <row r="30" spans="1:28">
      <c r="A30" s="1" t="s">
        <v>3</v>
      </c>
      <c r="B30" s="7"/>
      <c r="C30" s="5" t="s">
        <v>2</v>
      </c>
      <c r="D30" s="395" t="s">
        <v>1</v>
      </c>
      <c r="E30" s="395"/>
      <c r="F30" s="7"/>
      <c r="G30" s="6"/>
      <c r="H30" s="6"/>
    </row>
    <row r="31" spans="1:28">
      <c r="A31" s="7">
        <f>MIN(E12:J16)-0.01</f>
        <v>6.57</v>
      </c>
      <c r="B31" s="7"/>
      <c r="C31" s="296">
        <v>6.57</v>
      </c>
      <c r="D31" s="3">
        <v>0</v>
      </c>
      <c r="E31" s="7"/>
      <c r="F31" s="7"/>
      <c r="G31" s="6"/>
      <c r="H31" s="6"/>
    </row>
    <row r="32" spans="1:28">
      <c r="A32" s="7">
        <f t="shared" ref="A32:A47" si="0">A31+0.01</f>
        <v>6.58</v>
      </c>
      <c r="B32" s="7"/>
      <c r="C32" s="296">
        <v>6.58</v>
      </c>
      <c r="D32" s="3">
        <v>3</v>
      </c>
      <c r="E32" s="7"/>
      <c r="F32" s="7"/>
      <c r="G32" s="6"/>
      <c r="H32" s="6"/>
    </row>
    <row r="33" spans="1:8">
      <c r="A33" s="7">
        <f t="shared" si="0"/>
        <v>6.59</v>
      </c>
      <c r="B33" s="7"/>
      <c r="C33" s="296">
        <v>6.59</v>
      </c>
      <c r="D33" s="3">
        <v>0</v>
      </c>
      <c r="E33" s="7"/>
      <c r="F33" s="7"/>
      <c r="G33" s="6"/>
      <c r="H33" s="6"/>
    </row>
    <row r="34" spans="1:8">
      <c r="A34" s="7">
        <f t="shared" si="0"/>
        <v>6.6</v>
      </c>
      <c r="B34" s="7"/>
      <c r="C34" s="296">
        <v>6.6</v>
      </c>
      <c r="D34" s="3">
        <v>0</v>
      </c>
      <c r="E34" s="7"/>
      <c r="F34" s="7"/>
      <c r="G34" s="6"/>
      <c r="H34" s="6"/>
    </row>
    <row r="35" spans="1:8">
      <c r="A35" s="7">
        <f t="shared" si="0"/>
        <v>6.6099999999999994</v>
      </c>
      <c r="B35" s="7"/>
      <c r="C35" s="296">
        <v>6.6099999999999994</v>
      </c>
      <c r="D35" s="3">
        <v>0</v>
      </c>
      <c r="E35" s="7"/>
      <c r="F35" s="7"/>
      <c r="G35" s="6"/>
      <c r="H35" s="6"/>
    </row>
    <row r="36" spans="1:8">
      <c r="A36" s="7">
        <f t="shared" si="0"/>
        <v>6.6199999999999992</v>
      </c>
      <c r="C36" s="296">
        <v>6.6199999999999992</v>
      </c>
      <c r="D36" s="3">
        <v>3</v>
      </c>
    </row>
    <row r="37" spans="1:8">
      <c r="A37" s="7">
        <f t="shared" si="0"/>
        <v>6.629999999999999</v>
      </c>
      <c r="C37" s="296">
        <v>6.629999999999999</v>
      </c>
      <c r="D37" s="3">
        <v>4</v>
      </c>
    </row>
    <row r="38" spans="1:8">
      <c r="A38" s="7">
        <f t="shared" si="0"/>
        <v>6.6399999999999988</v>
      </c>
      <c r="C38" s="296">
        <v>6.6399999999999988</v>
      </c>
      <c r="D38" s="3">
        <v>5</v>
      </c>
    </row>
    <row r="39" spans="1:8">
      <c r="A39" s="7">
        <f t="shared" si="0"/>
        <v>6.6499999999999986</v>
      </c>
      <c r="C39" s="296">
        <v>6.6499999999999986</v>
      </c>
      <c r="D39" s="3">
        <v>2</v>
      </c>
    </row>
    <row r="40" spans="1:8">
      <c r="A40" s="7">
        <f t="shared" si="0"/>
        <v>6.6599999999999984</v>
      </c>
      <c r="C40" s="296">
        <v>6.6599999999999984</v>
      </c>
      <c r="D40" s="3">
        <v>1</v>
      </c>
    </row>
    <row r="41" spans="1:8">
      <c r="A41" s="7">
        <f t="shared" si="0"/>
        <v>6.6699999999999982</v>
      </c>
      <c r="C41" s="296">
        <v>6.6699999999999982</v>
      </c>
      <c r="D41" s="3">
        <v>3</v>
      </c>
    </row>
    <row r="42" spans="1:8">
      <c r="A42" s="7">
        <f t="shared" si="0"/>
        <v>6.6799999999999979</v>
      </c>
      <c r="C42" s="296">
        <v>6.6799999999999979</v>
      </c>
      <c r="D42" s="3">
        <v>2</v>
      </c>
    </row>
    <row r="43" spans="1:8">
      <c r="A43" s="7">
        <f t="shared" si="0"/>
        <v>6.6899999999999977</v>
      </c>
      <c r="C43" s="296">
        <v>6.6899999999999977</v>
      </c>
      <c r="D43" s="3">
        <v>0</v>
      </c>
    </row>
    <row r="44" spans="1:8">
      <c r="A44" s="7">
        <f t="shared" si="0"/>
        <v>6.6999999999999975</v>
      </c>
      <c r="C44" s="296">
        <v>6.6999999999999975</v>
      </c>
      <c r="D44" s="3">
        <v>2</v>
      </c>
    </row>
    <row r="45" spans="1:8">
      <c r="A45" s="7">
        <f t="shared" si="0"/>
        <v>6.7099999999999973</v>
      </c>
      <c r="C45" s="296">
        <v>6.7099999999999973</v>
      </c>
      <c r="D45" s="3">
        <v>3</v>
      </c>
    </row>
    <row r="46" spans="1:8">
      <c r="A46" s="7">
        <f t="shared" si="0"/>
        <v>6.7199999999999971</v>
      </c>
      <c r="C46" s="296">
        <v>6.7199999999999971</v>
      </c>
      <c r="D46" s="3">
        <v>1</v>
      </c>
    </row>
    <row r="47" spans="1:8">
      <c r="A47" s="7">
        <f t="shared" si="0"/>
        <v>6.7299999999999969</v>
      </c>
      <c r="C47" s="296">
        <v>6.7299999999999969</v>
      </c>
      <c r="D47" s="3">
        <v>1</v>
      </c>
    </row>
    <row r="48" spans="1:8">
      <c r="A48" s="1">
        <v>6.74</v>
      </c>
      <c r="C48" s="296">
        <v>6.74</v>
      </c>
      <c r="D48" s="3">
        <v>0</v>
      </c>
    </row>
    <row r="49" spans="1:4">
      <c r="A49" s="1">
        <v>6.75</v>
      </c>
      <c r="C49" s="296">
        <v>6.75</v>
      </c>
      <c r="D49" s="3">
        <v>0</v>
      </c>
    </row>
    <row r="50" spans="1:4" ht="15" thickBot="1">
      <c r="C50" s="2" t="s">
        <v>0</v>
      </c>
      <c r="D50" s="2">
        <v>0</v>
      </c>
    </row>
  </sheetData>
  <mergeCells count="5">
    <mergeCell ref="D30:E30"/>
    <mergeCell ref="C9:D9"/>
    <mergeCell ref="E9:I9"/>
    <mergeCell ref="K9:L9"/>
    <mergeCell ref="M9:P9"/>
  </mergeCells>
  <phoneticPr fontId="16" type="noConversion"/>
  <pageMargins left="0.25" right="0.25" top="0.25" bottom="0.25" header="0.3" footer="0.3"/>
  <pageSetup orientation="landscape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7"/>
  <sheetViews>
    <sheetView zoomScale="85" zoomScaleNormal="85" zoomScalePageLayoutView="85" workbookViewId="0">
      <selection activeCell="AA47" sqref="AA47"/>
    </sheetView>
  </sheetViews>
  <sheetFormatPr baseColWidth="10" defaultColWidth="8.83203125" defaultRowHeight="14" x14ac:dyDescent="0"/>
  <cols>
    <col min="1" max="1" width="6.33203125" style="1" customWidth="1"/>
    <col min="2" max="2" width="16.1640625" style="1" customWidth="1"/>
    <col min="3" max="3" width="6.1640625" style="1" customWidth="1"/>
    <col min="4" max="4" width="5.1640625" style="1" customWidth="1"/>
    <col min="5" max="9" width="6.83203125" style="1" customWidth="1"/>
    <col min="10" max="10" width="6.83203125" style="1" bestFit="1" customWidth="1"/>
    <col min="11" max="12" width="6.83203125" style="1" customWidth="1"/>
    <col min="13" max="16" width="3.6640625" style="1" customWidth="1"/>
    <col min="17" max="18" width="5.6640625" style="1" customWidth="1"/>
    <col min="19" max="19" width="7" style="1" customWidth="1"/>
    <col min="20" max="20" width="5.1640625" style="1" customWidth="1"/>
    <col min="21" max="16384" width="8.83203125" style="1"/>
  </cols>
  <sheetData>
    <row r="1" spans="1:27">
      <c r="A1" s="1" t="s">
        <v>49</v>
      </c>
      <c r="B1" s="79"/>
    </row>
    <row r="2" spans="1:27">
      <c r="A2" s="1" t="s">
        <v>48</v>
      </c>
      <c r="B2" s="79"/>
    </row>
    <row r="3" spans="1:27">
      <c r="A3" s="1" t="s">
        <v>47</v>
      </c>
      <c r="B3" s="79"/>
    </row>
    <row r="4" spans="1:27">
      <c r="B4" s="79"/>
    </row>
    <row r="5" spans="1:27">
      <c r="B5" s="1" t="s">
        <v>46</v>
      </c>
      <c r="C5" s="1" t="s">
        <v>45</v>
      </c>
    </row>
    <row r="6" spans="1:27">
      <c r="A6" s="1" t="s">
        <v>104</v>
      </c>
      <c r="B6" s="12">
        <v>0.25</v>
      </c>
      <c r="C6" s="1">
        <v>6.35</v>
      </c>
      <c r="D6" s="79"/>
      <c r="E6" s="79"/>
      <c r="F6" s="79"/>
      <c r="G6" s="79"/>
      <c r="H6" s="79"/>
      <c r="I6" s="79"/>
      <c r="J6" s="79"/>
      <c r="K6" s="79"/>
      <c r="L6" s="79"/>
      <c r="M6" s="79"/>
      <c r="N6" s="79"/>
      <c r="O6" s="79"/>
      <c r="P6" s="79"/>
    </row>
    <row r="7" spans="1:27">
      <c r="B7" s="12"/>
      <c r="D7" s="79"/>
      <c r="E7" s="79"/>
      <c r="F7" s="79"/>
      <c r="G7" s="79"/>
      <c r="H7" s="79"/>
      <c r="I7" s="79"/>
      <c r="J7" s="79"/>
      <c r="K7" s="79"/>
      <c r="L7" s="79"/>
      <c r="M7" s="79"/>
      <c r="N7" s="79"/>
      <c r="O7" s="79"/>
      <c r="P7" s="79"/>
    </row>
    <row r="8" spans="1:27">
      <c r="A8" s="1" t="s">
        <v>54</v>
      </c>
      <c r="B8" s="79"/>
      <c r="C8" s="79"/>
      <c r="D8" s="79"/>
      <c r="E8" s="79"/>
      <c r="F8" s="79"/>
      <c r="G8" s="79"/>
      <c r="H8" s="79"/>
      <c r="I8" s="79"/>
      <c r="J8" s="79"/>
      <c r="K8" s="79"/>
      <c r="L8" s="79"/>
      <c r="M8" s="79"/>
      <c r="N8" s="79"/>
      <c r="O8" s="79"/>
      <c r="P8" s="79"/>
      <c r="V8" s="396" t="s">
        <v>42</v>
      </c>
      <c r="W8" s="396"/>
    </row>
    <row r="9" spans="1:27" ht="30" customHeight="1">
      <c r="A9" s="71" t="s">
        <v>32</v>
      </c>
      <c r="B9" s="261" t="s">
        <v>41</v>
      </c>
      <c r="C9" s="386" t="s">
        <v>40</v>
      </c>
      <c r="D9" s="387"/>
      <c r="E9" s="385" t="s">
        <v>39</v>
      </c>
      <c r="F9" s="385"/>
      <c r="G9" s="385"/>
      <c r="H9" s="385"/>
      <c r="I9" s="385"/>
      <c r="J9" s="75"/>
      <c r="K9" s="386" t="s">
        <v>38</v>
      </c>
      <c r="L9" s="387"/>
      <c r="M9" s="386" t="s">
        <v>37</v>
      </c>
      <c r="N9" s="384"/>
      <c r="O9" s="384"/>
      <c r="P9" s="384"/>
      <c r="Q9" s="74" t="s">
        <v>36</v>
      </c>
      <c r="R9" s="204" t="s">
        <v>70</v>
      </c>
      <c r="S9" s="203" t="s">
        <v>69</v>
      </c>
      <c r="T9" s="19" t="s">
        <v>33</v>
      </c>
      <c r="V9" s="19" t="s">
        <v>32</v>
      </c>
      <c r="W9" s="253" t="s">
        <v>105</v>
      </c>
      <c r="X9" s="69" t="s">
        <v>31</v>
      </c>
      <c r="Y9" s="68" t="s">
        <v>30</v>
      </c>
      <c r="Z9" s="19" t="s">
        <v>29</v>
      </c>
      <c r="AA9" s="67" t="s">
        <v>51</v>
      </c>
    </row>
    <row r="10" spans="1:27">
      <c r="A10" s="12"/>
      <c r="B10" s="187"/>
      <c r="C10" s="177">
        <v>1</v>
      </c>
      <c r="D10" s="187">
        <v>2</v>
      </c>
      <c r="E10" s="219">
        <v>1</v>
      </c>
      <c r="F10" s="218">
        <v>2</v>
      </c>
      <c r="G10" s="218">
        <v>3</v>
      </c>
      <c r="H10" s="218">
        <v>4</v>
      </c>
      <c r="I10" s="218">
        <v>5</v>
      </c>
      <c r="J10" s="217">
        <v>6</v>
      </c>
      <c r="K10" s="219">
        <v>1</v>
      </c>
      <c r="L10" s="217">
        <v>2</v>
      </c>
      <c r="M10" s="219">
        <v>1</v>
      </c>
      <c r="N10" s="218">
        <v>2</v>
      </c>
      <c r="O10" s="218">
        <v>3</v>
      </c>
      <c r="P10" s="218">
        <v>4</v>
      </c>
      <c r="Q10" s="217"/>
      <c r="R10" s="219"/>
      <c r="S10" s="215"/>
      <c r="T10" s="35"/>
      <c r="V10" s="35"/>
      <c r="W10" s="35"/>
      <c r="X10" s="52"/>
      <c r="Y10" s="59"/>
      <c r="Z10" s="59"/>
      <c r="AA10" s="35"/>
    </row>
    <row r="11" spans="1:27">
      <c r="A11" s="12"/>
      <c r="B11" s="54"/>
      <c r="C11" s="56"/>
      <c r="D11" s="54"/>
      <c r="E11" s="56"/>
      <c r="F11" s="12"/>
      <c r="G11" s="12"/>
      <c r="H11" s="12"/>
      <c r="I11" s="12"/>
      <c r="J11" s="54"/>
      <c r="K11" s="56"/>
      <c r="L11" s="54"/>
      <c r="M11" s="56"/>
      <c r="N11" s="12"/>
      <c r="O11" s="12"/>
      <c r="P11" s="12"/>
      <c r="Q11" s="54"/>
      <c r="R11" s="56"/>
      <c r="S11" s="54"/>
      <c r="T11" s="35"/>
      <c r="V11" s="35"/>
      <c r="W11" s="35"/>
      <c r="X11" s="35"/>
      <c r="Y11" s="35"/>
      <c r="Z11" s="35"/>
      <c r="AA11" s="35"/>
    </row>
    <row r="12" spans="1:27">
      <c r="A12" s="12">
        <v>6</v>
      </c>
      <c r="B12" s="187"/>
      <c r="C12" s="213">
        <v>103</v>
      </c>
      <c r="D12" s="182">
        <v>103</v>
      </c>
      <c r="E12" s="122">
        <v>6.67</v>
      </c>
      <c r="F12" s="47">
        <v>6.66</v>
      </c>
      <c r="G12" s="47">
        <v>6.71</v>
      </c>
      <c r="H12" s="47">
        <v>6.73</v>
      </c>
      <c r="I12" s="47">
        <v>6.72</v>
      </c>
      <c r="J12" s="121">
        <v>6.74</v>
      </c>
      <c r="K12" s="166">
        <v>25.67</v>
      </c>
      <c r="L12" s="165">
        <v>25.75</v>
      </c>
      <c r="M12" s="177"/>
      <c r="N12" s="55"/>
      <c r="O12" s="55"/>
      <c r="P12" s="55"/>
      <c r="Q12" s="187"/>
      <c r="R12" s="56">
        <v>254.7</v>
      </c>
      <c r="S12" s="212">
        <v>14.344679899101646</v>
      </c>
      <c r="T12" s="35">
        <v>2</v>
      </c>
      <c r="V12" s="35">
        <v>6</v>
      </c>
      <c r="W12" s="160">
        <f>MAX(E12:J12)-MIN(E12:J12)</f>
        <v>8.0000000000000071E-2</v>
      </c>
      <c r="X12" s="35">
        <v>0</v>
      </c>
      <c r="Y12" s="35">
        <v>0</v>
      </c>
      <c r="Z12" s="34">
        <v>0</v>
      </c>
      <c r="AA12" s="35">
        <f>IF(OR(M12="Y",N12="Y",O12="Y",P12="Y"),1,0)</f>
        <v>0</v>
      </c>
    </row>
    <row r="13" spans="1:27" s="71" customFormat="1">
      <c r="A13" s="279">
        <v>7</v>
      </c>
      <c r="B13" s="261"/>
      <c r="C13" s="210">
        <v>103</v>
      </c>
      <c r="D13" s="209">
        <v>103</v>
      </c>
      <c r="E13" s="285">
        <v>6.74</v>
      </c>
      <c r="F13" s="75">
        <v>6.72</v>
      </c>
      <c r="G13" s="75">
        <v>6.72</v>
      </c>
      <c r="H13" s="75">
        <v>6.7</v>
      </c>
      <c r="I13" s="75">
        <v>6.67</v>
      </c>
      <c r="J13" s="195">
        <v>6.65</v>
      </c>
      <c r="K13" s="157">
        <v>25.73</v>
      </c>
      <c r="L13" s="156">
        <v>25.69</v>
      </c>
      <c r="M13" s="295"/>
      <c r="N13" s="76"/>
      <c r="O13" s="76"/>
      <c r="P13" s="76"/>
      <c r="Q13" s="261"/>
      <c r="R13" s="220">
        <v>254.8</v>
      </c>
      <c r="S13" s="207">
        <v>14.361021077616531</v>
      </c>
      <c r="T13" s="19">
        <v>2</v>
      </c>
      <c r="V13" s="278">
        <v>7</v>
      </c>
      <c r="W13" s="160">
        <f>MAX(E13:J13)-MIN(E13:J13)</f>
        <v>8.9999999999999858E-2</v>
      </c>
      <c r="X13" s="19">
        <v>0</v>
      </c>
      <c r="Y13" s="19">
        <v>0</v>
      </c>
      <c r="Z13" s="18">
        <v>0</v>
      </c>
      <c r="AA13" s="19">
        <f>IF(OR(M13="Y",N13="Y",O13="Y",P13="Y"),1,0)</f>
        <v>0</v>
      </c>
    </row>
    <row r="14" spans="1:27" s="12" customFormat="1">
      <c r="B14" s="55"/>
      <c r="C14" s="247"/>
      <c r="D14" s="248"/>
      <c r="E14" s="47"/>
      <c r="F14" s="47"/>
      <c r="G14" s="47"/>
      <c r="H14" s="47"/>
      <c r="I14" s="47"/>
      <c r="J14" s="47"/>
      <c r="K14" s="11"/>
      <c r="L14" s="199"/>
      <c r="M14" s="55"/>
      <c r="N14" s="55"/>
      <c r="O14" s="55"/>
      <c r="P14" s="55"/>
      <c r="R14" s="42"/>
      <c r="Y14" s="12">
        <f>SUM(Y12:Y13)</f>
        <v>0</v>
      </c>
      <c r="Z14" s="12">
        <f>SUM(Z12:Z13)</f>
        <v>0</v>
      </c>
      <c r="AA14" s="12">
        <f>SUM(AA12:AA13)</f>
        <v>0</v>
      </c>
    </row>
    <row r="16" spans="1:27">
      <c r="A16" s="12" t="s">
        <v>17</v>
      </c>
      <c r="C16" s="1" t="s">
        <v>16</v>
      </c>
      <c r="E16" s="1" t="s">
        <v>15</v>
      </c>
      <c r="K16" s="1" t="s">
        <v>14</v>
      </c>
      <c r="Q16" s="1" t="s">
        <v>13</v>
      </c>
      <c r="R16" s="1" t="s">
        <v>12</v>
      </c>
    </row>
    <row r="18" spans="1:18">
      <c r="A18" s="1" t="s">
        <v>11</v>
      </c>
      <c r="C18" s="1">
        <f>4*25.4</f>
        <v>101.6</v>
      </c>
      <c r="E18" s="1">
        <f>C6</f>
        <v>6.35</v>
      </c>
      <c r="K18" s="11">
        <v>25.4</v>
      </c>
    </row>
    <row r="19" spans="1:18">
      <c r="A19" s="1" t="s">
        <v>10</v>
      </c>
      <c r="C19" s="1">
        <f>MODE(C12, C13)</f>
        <v>103</v>
      </c>
      <c r="E19" s="1">
        <f>MODE(E12:J13)</f>
        <v>6.72</v>
      </c>
      <c r="K19" s="1" t="e">
        <f>MODE(K12:L13)</f>
        <v>#N/A</v>
      </c>
      <c r="Q19" s="1" t="e">
        <f>MODE(R12:R13)</f>
        <v>#N/A</v>
      </c>
      <c r="R19" s="1" t="e">
        <f>MODE(S12:S13)</f>
        <v>#N/A</v>
      </c>
    </row>
    <row r="20" spans="1:18">
      <c r="A20" s="1" t="s">
        <v>9</v>
      </c>
      <c r="C20" s="10">
        <f>AVERAGE(C12, C13)</f>
        <v>103</v>
      </c>
      <c r="E20" s="7">
        <f>AVERAGE(E12:J13)</f>
        <v>6.7025000000000006</v>
      </c>
      <c r="K20" s="6">
        <f>AVERAGE(K12:L13)</f>
        <v>25.71</v>
      </c>
      <c r="Q20" s="9">
        <f>AVERAGE(R12:R13)</f>
        <v>254.75</v>
      </c>
      <c r="R20" s="9">
        <f>AVERAGE(S12:S13)</f>
        <v>14.352850488359088</v>
      </c>
    </row>
    <row r="21" spans="1:18">
      <c r="A21" s="1" t="s">
        <v>8</v>
      </c>
      <c r="C21" s="1">
        <f>STDEV(C12, C13)</f>
        <v>0</v>
      </c>
      <c r="D21" s="248"/>
      <c r="E21" s="1">
        <f>STDEV(E12:J13)</f>
        <v>3.19445542378438E-2</v>
      </c>
      <c r="K21" s="1">
        <f>STDEV(K12:L13)</f>
        <v>3.6514837167010296E-2</v>
      </c>
      <c r="Q21" s="1">
        <f>STDEV(R12:R13)</f>
        <v>7.0710678118670822E-2</v>
      </c>
      <c r="R21" s="1">
        <f>STDEV(S12:S13)</f>
        <v>1.1554958140455282E-2</v>
      </c>
    </row>
    <row r="22" spans="1:18">
      <c r="A22" s="8" t="s">
        <v>7</v>
      </c>
      <c r="D22" s="248"/>
      <c r="E22" s="7">
        <f>E20+E21</f>
        <v>6.7344445542378439</v>
      </c>
      <c r="K22" s="6">
        <f>K20+K21</f>
        <v>25.746514837167013</v>
      </c>
      <c r="Q22" s="1">
        <f>Q20+Q21</f>
        <v>254.82071067811867</v>
      </c>
      <c r="R22" s="9">
        <f>R20+R21</f>
        <v>14.364405446499545</v>
      </c>
    </row>
    <row r="23" spans="1:18">
      <c r="A23" s="8" t="s">
        <v>6</v>
      </c>
      <c r="D23" s="248"/>
      <c r="E23" s="7">
        <f>E20-E21</f>
        <v>6.6705554457621572</v>
      </c>
      <c r="K23" s="6">
        <f>K20-K21</f>
        <v>25.673485162832989</v>
      </c>
      <c r="Q23" s="1">
        <f>Q20-Q21</f>
        <v>254.67928932188133</v>
      </c>
      <c r="R23" s="9">
        <f>R20-R21</f>
        <v>14.341295530218632</v>
      </c>
    </row>
    <row r="24" spans="1:18">
      <c r="A24" s="1" t="s">
        <v>72</v>
      </c>
      <c r="C24" s="6">
        <f>MAX(C12:D13)-C18</f>
        <v>1.4000000000000057</v>
      </c>
      <c r="E24" s="7">
        <f>MAX(E12:J13)-E18</f>
        <v>0.39000000000000057</v>
      </c>
      <c r="K24" s="6">
        <f>MAX(K12:L13)-$K18</f>
        <v>0.35000000000000142</v>
      </c>
    </row>
    <row r="25" spans="1:18">
      <c r="A25" s="1" t="s">
        <v>71</v>
      </c>
      <c r="C25" s="6">
        <f>MIN(C12:D13)-C18</f>
        <v>1.4000000000000057</v>
      </c>
      <c r="E25" s="7">
        <f>MIN(E12:J13)-E18</f>
        <v>0.30000000000000071</v>
      </c>
      <c r="K25" s="6">
        <f>MIN(K12:L13)-K18</f>
        <v>0.27000000000000313</v>
      </c>
    </row>
    <row r="26" spans="1:18" ht="15" thickBot="1"/>
    <row r="27" spans="1:18">
      <c r="A27" s="1" t="s">
        <v>3</v>
      </c>
      <c r="C27" s="5" t="s">
        <v>2</v>
      </c>
      <c r="D27" s="5" t="s">
        <v>1</v>
      </c>
    </row>
    <row r="28" spans="1:18">
      <c r="A28" s="7">
        <f>6.57</f>
        <v>6.57</v>
      </c>
      <c r="C28" s="296">
        <v>6.57</v>
      </c>
      <c r="D28" s="3">
        <v>0</v>
      </c>
    </row>
    <row r="29" spans="1:18">
      <c r="A29" s="7">
        <f t="shared" ref="A29:A44" si="0">A28+0.01</f>
        <v>6.58</v>
      </c>
      <c r="C29" s="296">
        <v>6.58</v>
      </c>
      <c r="D29" s="3">
        <v>0</v>
      </c>
    </row>
    <row r="30" spans="1:18">
      <c r="A30" s="7">
        <f t="shared" si="0"/>
        <v>6.59</v>
      </c>
      <c r="C30" s="296">
        <v>6.59</v>
      </c>
      <c r="D30" s="3">
        <v>0</v>
      </c>
    </row>
    <row r="31" spans="1:18">
      <c r="A31" s="7">
        <f t="shared" si="0"/>
        <v>6.6</v>
      </c>
      <c r="C31" s="296">
        <v>6.6</v>
      </c>
      <c r="D31" s="3">
        <v>0</v>
      </c>
    </row>
    <row r="32" spans="1:18">
      <c r="A32" s="7">
        <f t="shared" si="0"/>
        <v>6.6099999999999994</v>
      </c>
      <c r="C32" s="296">
        <v>6.6099999999999994</v>
      </c>
      <c r="D32" s="3">
        <v>0</v>
      </c>
    </row>
    <row r="33" spans="1:4">
      <c r="A33" s="7">
        <f t="shared" si="0"/>
        <v>6.6199999999999992</v>
      </c>
      <c r="C33" s="296">
        <v>6.6199999999999992</v>
      </c>
      <c r="D33" s="3">
        <v>0</v>
      </c>
    </row>
    <row r="34" spans="1:4">
      <c r="A34" s="7">
        <f t="shared" si="0"/>
        <v>6.629999999999999</v>
      </c>
      <c r="C34" s="296">
        <v>6.629999999999999</v>
      </c>
      <c r="D34" s="3">
        <v>0</v>
      </c>
    </row>
    <row r="35" spans="1:4">
      <c r="A35" s="7">
        <f t="shared" si="0"/>
        <v>6.6399999999999988</v>
      </c>
      <c r="C35" s="296">
        <v>6.6399999999999988</v>
      </c>
      <c r="D35" s="3">
        <v>0</v>
      </c>
    </row>
    <row r="36" spans="1:4">
      <c r="A36" s="7">
        <f t="shared" si="0"/>
        <v>6.6499999999999986</v>
      </c>
      <c r="C36" s="296">
        <v>6.6499999999999986</v>
      </c>
      <c r="D36" s="3">
        <v>0</v>
      </c>
    </row>
    <row r="37" spans="1:4">
      <c r="A37" s="7">
        <f t="shared" si="0"/>
        <v>6.6599999999999984</v>
      </c>
      <c r="C37" s="296">
        <v>6.6599999999999984</v>
      </c>
      <c r="D37" s="3">
        <v>1</v>
      </c>
    </row>
    <row r="38" spans="1:4">
      <c r="A38" s="7">
        <f t="shared" si="0"/>
        <v>6.6699999999999982</v>
      </c>
      <c r="C38" s="296">
        <v>6.6699999999999982</v>
      </c>
      <c r="D38" s="3">
        <v>1</v>
      </c>
    </row>
    <row r="39" spans="1:4">
      <c r="A39" s="7">
        <f t="shared" si="0"/>
        <v>6.6799999999999979</v>
      </c>
      <c r="C39" s="296">
        <v>6.6799999999999979</v>
      </c>
      <c r="D39" s="3">
        <v>2</v>
      </c>
    </row>
    <row r="40" spans="1:4">
      <c r="A40" s="7">
        <f t="shared" si="0"/>
        <v>6.6899999999999977</v>
      </c>
      <c r="C40" s="296">
        <v>6.6899999999999977</v>
      </c>
      <c r="D40" s="3">
        <v>0</v>
      </c>
    </row>
    <row r="41" spans="1:4">
      <c r="A41" s="7">
        <f t="shared" si="0"/>
        <v>6.6999999999999975</v>
      </c>
      <c r="C41" s="296">
        <v>6.6999999999999975</v>
      </c>
      <c r="D41" s="3">
        <v>0</v>
      </c>
    </row>
    <row r="42" spans="1:4">
      <c r="A42" s="7">
        <f t="shared" si="0"/>
        <v>6.7099999999999973</v>
      </c>
      <c r="C42" s="296">
        <v>6.7099999999999973</v>
      </c>
      <c r="D42" s="3">
        <v>1</v>
      </c>
    </row>
    <row r="43" spans="1:4">
      <c r="A43" s="7">
        <f t="shared" si="0"/>
        <v>6.7199999999999971</v>
      </c>
      <c r="C43" s="296">
        <v>6.7199999999999971</v>
      </c>
      <c r="D43" s="3">
        <v>1</v>
      </c>
    </row>
    <row r="44" spans="1:4">
      <c r="A44" s="7">
        <f t="shared" si="0"/>
        <v>6.7299999999999969</v>
      </c>
      <c r="C44" s="296">
        <v>6.7299999999999969</v>
      </c>
      <c r="D44" s="3">
        <v>3</v>
      </c>
    </row>
    <row r="45" spans="1:4">
      <c r="A45" s="1">
        <v>6.74</v>
      </c>
      <c r="C45" s="296">
        <v>6.74</v>
      </c>
      <c r="D45" s="3">
        <v>3</v>
      </c>
    </row>
    <row r="46" spans="1:4">
      <c r="A46" s="1">
        <v>6.75</v>
      </c>
      <c r="C46" s="296">
        <v>6.75</v>
      </c>
      <c r="D46" s="3">
        <v>0</v>
      </c>
    </row>
    <row r="47" spans="1:4" ht="15" thickBot="1">
      <c r="C47" s="2" t="s">
        <v>0</v>
      </c>
      <c r="D47" s="2">
        <v>0</v>
      </c>
    </row>
  </sheetData>
  <mergeCells count="5">
    <mergeCell ref="C9:D9"/>
    <mergeCell ref="E9:I9"/>
    <mergeCell ref="K9:L9"/>
    <mergeCell ref="M9:P9"/>
    <mergeCell ref="V8:W8"/>
  </mergeCells>
  <phoneticPr fontId="16" type="noConversion"/>
  <pageMargins left="0.25" right="0.25" top="0.25" bottom="0.25" header="0.3" footer="0.3"/>
  <pageSetup orientation="landscape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7"/>
  <sheetViews>
    <sheetView topLeftCell="A8" zoomScale="80" zoomScaleNormal="80" zoomScaleSheetLayoutView="70" zoomScalePageLayoutView="80" workbookViewId="0">
      <selection activeCell="M12" sqref="M12:P65"/>
    </sheetView>
  </sheetViews>
  <sheetFormatPr baseColWidth="10" defaultColWidth="8.83203125" defaultRowHeight="14" x14ac:dyDescent="0"/>
  <cols>
    <col min="1" max="1" width="11.5" bestFit="1" customWidth="1"/>
    <col min="2" max="2" width="11.1640625" bestFit="1" customWidth="1"/>
    <col min="3" max="3" width="7.83203125" customWidth="1"/>
    <col min="4" max="4" width="5" customWidth="1"/>
    <col min="5" max="5" width="7.33203125" customWidth="1"/>
    <col min="6" max="7" width="5.6640625" customWidth="1"/>
    <col min="8" max="10" width="2.5" customWidth="1"/>
    <col min="11" max="12" width="6.83203125" customWidth="1"/>
    <col min="13" max="14" width="3.1640625" customWidth="1"/>
    <col min="15" max="16" width="2.5" customWidth="1"/>
    <col min="17" max="17" width="10.6640625" bestFit="1" customWidth="1"/>
    <col min="18" max="18" width="7.83203125" customWidth="1"/>
    <col min="19" max="19" width="8.6640625" customWidth="1"/>
    <col min="20" max="20" width="8.33203125" customWidth="1"/>
    <col min="21" max="21" width="10" bestFit="1" customWidth="1"/>
    <col min="22" max="22" width="10" customWidth="1"/>
  </cols>
  <sheetData>
    <row r="1" spans="1:27">
      <c r="A1" s="388" t="s">
        <v>49</v>
      </c>
      <c r="B1" s="388"/>
      <c r="C1" s="145"/>
      <c r="D1" s="145"/>
      <c r="E1" s="146"/>
      <c r="F1" s="146"/>
      <c r="G1" s="146"/>
      <c r="H1" s="146"/>
      <c r="I1" s="146"/>
      <c r="J1" s="146"/>
      <c r="K1" s="145"/>
      <c r="L1" s="145"/>
      <c r="N1" s="145"/>
      <c r="O1" s="145"/>
      <c r="P1" s="145"/>
      <c r="R1" s="144"/>
      <c r="S1" s="144"/>
      <c r="T1" s="144"/>
    </row>
    <row r="2" spans="1:27">
      <c r="A2" s="388" t="s">
        <v>48</v>
      </c>
      <c r="B2" s="388"/>
      <c r="C2" s="145"/>
      <c r="D2" s="145"/>
      <c r="E2" s="146"/>
      <c r="F2" s="146"/>
      <c r="G2" s="146"/>
      <c r="H2" s="146"/>
      <c r="I2" s="146"/>
      <c r="J2" s="146"/>
      <c r="K2" s="145"/>
      <c r="L2" s="145"/>
      <c r="N2" s="145"/>
      <c r="O2" s="145"/>
      <c r="P2" s="145"/>
      <c r="R2" s="144"/>
      <c r="S2" s="144"/>
      <c r="T2" s="144"/>
    </row>
    <row r="3" spans="1:27">
      <c r="A3" s="388" t="s">
        <v>47</v>
      </c>
      <c r="B3" s="388"/>
      <c r="C3" s="145"/>
      <c r="D3" s="145"/>
      <c r="E3" s="146"/>
      <c r="F3" s="146"/>
      <c r="G3" s="146"/>
      <c r="H3" s="146"/>
      <c r="I3" s="146"/>
      <c r="J3" s="146"/>
      <c r="K3" s="145"/>
      <c r="L3" s="145"/>
      <c r="N3" s="145"/>
      <c r="O3" s="145"/>
      <c r="P3" s="145"/>
      <c r="R3" s="144"/>
      <c r="S3" s="144"/>
      <c r="T3" s="144"/>
    </row>
    <row r="4" spans="1:27">
      <c r="B4" s="145"/>
      <c r="C4" s="145"/>
      <c r="D4" s="145"/>
      <c r="E4" s="146"/>
      <c r="F4" s="146"/>
      <c r="G4" s="146"/>
      <c r="H4" s="146"/>
      <c r="I4" s="146"/>
      <c r="J4" s="146"/>
      <c r="K4" s="145"/>
      <c r="L4" s="145"/>
      <c r="N4" s="145"/>
      <c r="O4" s="145"/>
      <c r="P4" s="145"/>
      <c r="R4" s="144"/>
      <c r="S4" s="144"/>
      <c r="T4" s="144"/>
    </row>
    <row r="5" spans="1:27">
      <c r="B5" s="145" t="s">
        <v>46</v>
      </c>
      <c r="C5" s="145" t="s">
        <v>45</v>
      </c>
      <c r="D5" s="145"/>
      <c r="E5" s="146"/>
      <c r="F5" s="146"/>
      <c r="G5" s="146"/>
      <c r="H5" s="146"/>
      <c r="I5" s="146"/>
      <c r="J5" s="146"/>
      <c r="K5" s="145"/>
      <c r="L5" s="145"/>
      <c r="N5" s="145"/>
      <c r="O5" s="145"/>
      <c r="P5" s="145"/>
      <c r="R5" s="144"/>
      <c r="S5" s="144"/>
      <c r="T5" s="144"/>
    </row>
    <row r="6" spans="1:27">
      <c r="A6" t="s">
        <v>44</v>
      </c>
      <c r="B6" s="145">
        <v>1.4999999999999999E-2</v>
      </c>
      <c r="C6" s="145">
        <f>B6*25.4</f>
        <v>0.38099999999999995</v>
      </c>
      <c r="D6" s="145"/>
      <c r="E6" s="146"/>
      <c r="F6" s="146"/>
      <c r="G6" s="146"/>
      <c r="H6" s="146"/>
      <c r="I6" s="146"/>
      <c r="J6" s="146"/>
      <c r="K6" s="145"/>
      <c r="L6" s="145"/>
      <c r="N6" s="145"/>
      <c r="O6" s="145"/>
      <c r="P6" s="145"/>
      <c r="R6" s="144"/>
      <c r="S6" s="144"/>
      <c r="T6" s="144"/>
    </row>
    <row r="7" spans="1:27">
      <c r="B7" s="145"/>
      <c r="C7" s="145"/>
      <c r="D7" s="145"/>
      <c r="E7" s="146"/>
      <c r="F7" s="146"/>
      <c r="G7" s="146"/>
      <c r="H7" s="146"/>
      <c r="I7" s="146"/>
      <c r="J7" s="146"/>
      <c r="K7" s="145"/>
      <c r="L7" s="145"/>
      <c r="N7" s="145"/>
      <c r="O7" s="145"/>
      <c r="P7" s="145"/>
      <c r="R7" s="144"/>
      <c r="S7" s="144"/>
      <c r="T7" s="144"/>
    </row>
    <row r="8" spans="1:27">
      <c r="A8" s="77" t="s">
        <v>54</v>
      </c>
      <c r="B8" s="145"/>
      <c r="C8" s="145"/>
      <c r="D8" s="145"/>
      <c r="E8" s="146"/>
      <c r="F8" s="146"/>
      <c r="G8" s="146"/>
      <c r="H8" s="146"/>
      <c r="I8" s="146"/>
      <c r="J8" s="146"/>
      <c r="K8" s="145"/>
      <c r="L8" s="145"/>
      <c r="N8" s="145"/>
      <c r="O8" s="145"/>
      <c r="P8" s="145"/>
      <c r="R8" s="144"/>
      <c r="S8" s="144"/>
      <c r="T8" s="143"/>
      <c r="X8" s="77" t="s">
        <v>42</v>
      </c>
    </row>
    <row r="9" spans="1:27" ht="45" customHeight="1">
      <c r="A9" s="103" t="s">
        <v>32</v>
      </c>
      <c r="B9" s="142" t="s">
        <v>41</v>
      </c>
      <c r="C9" s="392" t="s">
        <v>40</v>
      </c>
      <c r="D9" s="393"/>
      <c r="E9" s="394" t="s">
        <v>39</v>
      </c>
      <c r="F9" s="394"/>
      <c r="G9" s="394"/>
      <c r="H9" s="394"/>
      <c r="I9" s="394"/>
      <c r="J9" s="141"/>
      <c r="K9" s="392" t="s">
        <v>38</v>
      </c>
      <c r="L9" s="393"/>
      <c r="M9" s="389" t="s">
        <v>37</v>
      </c>
      <c r="N9" s="389"/>
      <c r="O9" s="389"/>
      <c r="P9" s="389"/>
      <c r="Q9" s="140" t="s">
        <v>53</v>
      </c>
      <c r="R9" s="139" t="s">
        <v>35</v>
      </c>
      <c r="S9" s="138" t="s">
        <v>34</v>
      </c>
      <c r="T9" s="103" t="s">
        <v>33</v>
      </c>
      <c r="U9" s="103"/>
      <c r="V9" s="103"/>
      <c r="W9" s="103" t="s">
        <v>32</v>
      </c>
      <c r="X9" s="137" t="s">
        <v>52</v>
      </c>
      <c r="Y9" s="136" t="s">
        <v>30</v>
      </c>
      <c r="Z9" s="103" t="s">
        <v>29</v>
      </c>
      <c r="AA9" s="135" t="s">
        <v>51</v>
      </c>
    </row>
    <row r="10" spans="1:27" s="57" customFormat="1">
      <c r="A10" s="128"/>
      <c r="B10" s="134"/>
      <c r="C10" s="133">
        <v>1</v>
      </c>
      <c r="D10" s="134">
        <v>2</v>
      </c>
      <c r="E10" s="133">
        <v>1</v>
      </c>
      <c r="F10" s="132">
        <v>2</v>
      </c>
      <c r="G10" s="132">
        <v>3</v>
      </c>
      <c r="H10" s="132">
        <v>4</v>
      </c>
      <c r="I10" s="132">
        <v>5</v>
      </c>
      <c r="J10" s="134">
        <v>6</v>
      </c>
      <c r="K10" s="133">
        <v>1</v>
      </c>
      <c r="L10" s="134">
        <v>2</v>
      </c>
      <c r="M10" s="133">
        <v>1</v>
      </c>
      <c r="N10" s="132">
        <v>2</v>
      </c>
      <c r="O10" s="132">
        <v>3</v>
      </c>
      <c r="P10" s="131">
        <v>4</v>
      </c>
      <c r="Q10" s="129"/>
      <c r="R10" s="130"/>
      <c r="S10" s="129"/>
      <c r="T10" s="10"/>
      <c r="U10" s="10"/>
      <c r="V10" s="10"/>
      <c r="W10" s="128"/>
      <c r="X10" s="127"/>
      <c r="Y10" s="127"/>
      <c r="Z10" s="127"/>
      <c r="AA10" s="126"/>
    </row>
    <row r="11" spans="1:27">
      <c r="A11" s="12"/>
      <c r="B11" s="54"/>
      <c r="C11" s="56"/>
      <c r="D11" s="54"/>
      <c r="E11" s="56"/>
      <c r="F11" s="12"/>
      <c r="G11" s="12"/>
      <c r="H11" s="12"/>
      <c r="I11" s="12"/>
      <c r="J11" s="54"/>
      <c r="K11" s="56"/>
      <c r="L11" s="54"/>
      <c r="M11" s="56"/>
      <c r="N11" s="55"/>
      <c r="O11" s="55"/>
      <c r="P11" s="55"/>
      <c r="Q11" s="54"/>
      <c r="R11" s="37"/>
      <c r="S11" s="53"/>
      <c r="T11" s="1"/>
      <c r="U11" s="1"/>
      <c r="V11" s="1"/>
      <c r="W11" s="12"/>
      <c r="X11" s="52"/>
      <c r="Y11" s="35"/>
      <c r="Z11" s="35"/>
      <c r="AA11" s="125"/>
    </row>
    <row r="12" spans="1:27">
      <c r="A12" s="12">
        <v>55</v>
      </c>
      <c r="B12" s="123"/>
      <c r="C12" s="41">
        <v>102</v>
      </c>
      <c r="D12" s="40">
        <v>102</v>
      </c>
      <c r="E12" s="122">
        <v>0.38</v>
      </c>
      <c r="F12" s="47">
        <v>0.39</v>
      </c>
      <c r="G12" s="47">
        <v>0.39</v>
      </c>
      <c r="H12" s="47"/>
      <c r="I12" s="47"/>
      <c r="J12" s="121"/>
      <c r="K12" s="46">
        <v>26.13</v>
      </c>
      <c r="L12" s="38">
        <v>26.25</v>
      </c>
      <c r="M12" s="124"/>
      <c r="N12" s="45" t="s">
        <v>20</v>
      </c>
      <c r="O12" s="45"/>
      <c r="P12" s="23"/>
      <c r="Q12" s="40" t="s">
        <v>19</v>
      </c>
      <c r="R12" s="37">
        <v>14.3</v>
      </c>
      <c r="S12" s="36">
        <f t="shared" ref="S12:S40" si="0">R12/(AVERAGE(C12:D12)*AVERAGE(E12:J12)*AVERAGE(K12:L12)*0.001)</f>
        <v>13.84406509769844</v>
      </c>
      <c r="T12" s="1">
        <v>3</v>
      </c>
      <c r="U12" s="1"/>
      <c r="V12" s="1"/>
      <c r="W12" s="12">
        <v>55</v>
      </c>
      <c r="X12" s="35">
        <f t="shared" ref="X12:X40" si="1">IF(OR(ABS(E12-$C$6)&gt;($C$6*0.1),ABS(F12-$C$6)&gt;($C$6*0.1),ABS(G12-$C$6)&gt;($C$6*0.1)),1,0)</f>
        <v>0</v>
      </c>
      <c r="Y12" s="35">
        <v>0</v>
      </c>
      <c r="Z12" s="34">
        <v>0</v>
      </c>
      <c r="AA12" s="114">
        <f t="shared" ref="AA12:AA40" si="2">IF(OR(M12="Y",N12="Y",O12="Y",P12="Y"),1,0)</f>
        <v>0</v>
      </c>
    </row>
    <row r="13" spans="1:27">
      <c r="A13" s="12">
        <v>56</v>
      </c>
      <c r="B13" s="123"/>
      <c r="C13" s="41">
        <v>102</v>
      </c>
      <c r="D13" s="40">
        <v>102</v>
      </c>
      <c r="E13" s="122">
        <v>0.39</v>
      </c>
      <c r="F13" s="47">
        <v>0.39</v>
      </c>
      <c r="G13" s="47">
        <v>0.39</v>
      </c>
      <c r="H13" s="47"/>
      <c r="I13" s="47"/>
      <c r="J13" s="121"/>
      <c r="K13" s="46">
        <v>26.21</v>
      </c>
      <c r="L13" s="38">
        <v>26.25</v>
      </c>
      <c r="M13" s="120" t="s">
        <v>20</v>
      </c>
      <c r="N13" s="45" t="s">
        <v>20</v>
      </c>
      <c r="O13" s="45"/>
      <c r="P13" s="23"/>
      <c r="Q13" s="40"/>
      <c r="R13" s="37">
        <v>14.3</v>
      </c>
      <c r="S13" s="36">
        <f t="shared" si="0"/>
        <v>13.704808394319734</v>
      </c>
      <c r="T13" s="1">
        <v>3</v>
      </c>
      <c r="U13" s="1"/>
      <c r="V13" s="1"/>
      <c r="W13" s="12">
        <v>56</v>
      </c>
      <c r="X13" s="35">
        <f t="shared" si="1"/>
        <v>0</v>
      </c>
      <c r="Y13" s="35">
        <v>0</v>
      </c>
      <c r="Z13" s="34">
        <v>0</v>
      </c>
      <c r="AA13" s="114">
        <f t="shared" si="2"/>
        <v>0</v>
      </c>
    </row>
    <row r="14" spans="1:27">
      <c r="A14" s="12">
        <v>57</v>
      </c>
      <c r="B14" s="123"/>
      <c r="C14" s="41">
        <v>102</v>
      </c>
      <c r="D14" s="40">
        <v>102</v>
      </c>
      <c r="E14" s="122">
        <v>0.39</v>
      </c>
      <c r="F14" s="47">
        <v>0.39</v>
      </c>
      <c r="G14" s="47">
        <v>0.39</v>
      </c>
      <c r="H14" s="47"/>
      <c r="I14" s="47"/>
      <c r="J14" s="121"/>
      <c r="K14" s="46">
        <v>26.29</v>
      </c>
      <c r="L14" s="38">
        <v>26.11</v>
      </c>
      <c r="M14" s="120" t="s">
        <v>20</v>
      </c>
      <c r="N14" s="45" t="s">
        <v>20</v>
      </c>
      <c r="O14" s="45"/>
      <c r="P14" s="23"/>
      <c r="Q14" s="115"/>
      <c r="R14" s="37">
        <v>14.1</v>
      </c>
      <c r="S14" s="36">
        <f t="shared" si="0"/>
        <v>13.528605805211104</v>
      </c>
      <c r="T14" s="1">
        <v>3</v>
      </c>
      <c r="U14" s="1"/>
      <c r="V14" s="1"/>
      <c r="W14" s="12">
        <v>57</v>
      </c>
      <c r="X14" s="35">
        <f t="shared" si="1"/>
        <v>0</v>
      </c>
      <c r="Y14" s="35">
        <v>0</v>
      </c>
      <c r="Z14" s="34">
        <v>0</v>
      </c>
      <c r="AA14" s="114">
        <f t="shared" si="2"/>
        <v>0</v>
      </c>
    </row>
    <row r="15" spans="1:27">
      <c r="A15" s="12">
        <v>58</v>
      </c>
      <c r="B15" s="123"/>
      <c r="C15" s="41">
        <v>102</v>
      </c>
      <c r="D15" s="40">
        <v>102</v>
      </c>
      <c r="E15" s="122">
        <v>0.39</v>
      </c>
      <c r="F15" s="47">
        <v>0.39</v>
      </c>
      <c r="G15" s="47">
        <v>0.39</v>
      </c>
      <c r="H15" s="47"/>
      <c r="I15" s="47"/>
      <c r="J15" s="121"/>
      <c r="K15" s="46">
        <v>26.15</v>
      </c>
      <c r="L15" s="38">
        <v>26.25</v>
      </c>
      <c r="M15" s="120"/>
      <c r="N15" s="45"/>
      <c r="O15" s="45"/>
      <c r="P15" s="23"/>
      <c r="Q15" s="115"/>
      <c r="R15" s="37">
        <v>14.2</v>
      </c>
      <c r="S15" s="36">
        <f t="shared" si="0"/>
        <v>13.624553364113311</v>
      </c>
      <c r="T15" s="1">
        <v>3</v>
      </c>
      <c r="U15" s="1"/>
      <c r="V15" s="1"/>
      <c r="W15" s="12">
        <v>58</v>
      </c>
      <c r="X15" s="35">
        <f t="shared" si="1"/>
        <v>0</v>
      </c>
      <c r="Y15" s="35">
        <v>0</v>
      </c>
      <c r="Z15" s="34">
        <v>0</v>
      </c>
      <c r="AA15" s="114">
        <f t="shared" si="2"/>
        <v>0</v>
      </c>
    </row>
    <row r="16" spans="1:27">
      <c r="A16" s="44">
        <v>59</v>
      </c>
      <c r="B16" s="123"/>
      <c r="C16" s="41">
        <v>102</v>
      </c>
      <c r="D16" s="40">
        <v>102</v>
      </c>
      <c r="E16" s="122">
        <v>0.36</v>
      </c>
      <c r="F16" s="47">
        <v>0.37</v>
      </c>
      <c r="G16" s="47">
        <v>0.36</v>
      </c>
      <c r="H16" s="47"/>
      <c r="I16" s="47"/>
      <c r="J16" s="121"/>
      <c r="K16" s="46">
        <v>26.25</v>
      </c>
      <c r="L16" s="38">
        <v>26.23</v>
      </c>
      <c r="M16" s="120"/>
      <c r="N16" s="45"/>
      <c r="O16" s="45"/>
      <c r="P16" s="23"/>
      <c r="Q16" s="40"/>
      <c r="R16" s="37">
        <v>13.4</v>
      </c>
      <c r="S16" s="36">
        <f t="shared" si="0"/>
        <v>13.779566424914115</v>
      </c>
      <c r="T16" s="1">
        <v>3</v>
      </c>
      <c r="U16" s="1"/>
      <c r="V16" s="1"/>
      <c r="W16" s="44">
        <v>59</v>
      </c>
      <c r="X16" s="35">
        <f t="shared" si="1"/>
        <v>0</v>
      </c>
      <c r="Y16" s="35">
        <v>0</v>
      </c>
      <c r="Z16" s="34">
        <v>0</v>
      </c>
      <c r="AA16" s="114">
        <f t="shared" si="2"/>
        <v>0</v>
      </c>
    </row>
    <row r="17" spans="1:27">
      <c r="A17" s="12">
        <v>60</v>
      </c>
      <c r="B17" s="123"/>
      <c r="C17" s="41">
        <v>102</v>
      </c>
      <c r="D17" s="40">
        <v>102</v>
      </c>
      <c r="E17" s="122">
        <v>0.39</v>
      </c>
      <c r="F17" s="47">
        <v>0.39</v>
      </c>
      <c r="G17" s="47">
        <v>0.39</v>
      </c>
      <c r="H17" s="47"/>
      <c r="I17" s="47"/>
      <c r="J17" s="121"/>
      <c r="K17" s="46">
        <v>26.27</v>
      </c>
      <c r="L17" s="38">
        <v>26.22</v>
      </c>
      <c r="M17" s="120" t="s">
        <v>20</v>
      </c>
      <c r="N17" s="45"/>
      <c r="O17" s="45"/>
      <c r="P17" s="23"/>
      <c r="Q17" s="115"/>
      <c r="R17" s="37">
        <v>14.3</v>
      </c>
      <c r="S17" s="36">
        <f t="shared" si="0"/>
        <v>13.696975583273257</v>
      </c>
      <c r="T17" s="1">
        <v>3</v>
      </c>
      <c r="U17" s="1"/>
      <c r="V17" s="1"/>
      <c r="W17" s="12">
        <v>60</v>
      </c>
      <c r="X17" s="35">
        <f t="shared" si="1"/>
        <v>0</v>
      </c>
      <c r="Y17" s="35">
        <v>0</v>
      </c>
      <c r="Z17" s="34">
        <v>0</v>
      </c>
      <c r="AA17" s="114">
        <f t="shared" si="2"/>
        <v>0</v>
      </c>
    </row>
    <row r="18" spans="1:27">
      <c r="A18" s="12">
        <v>61</v>
      </c>
      <c r="B18" s="123"/>
      <c r="C18" s="41">
        <v>102</v>
      </c>
      <c r="D18" s="40">
        <v>102</v>
      </c>
      <c r="E18" s="122">
        <v>0.39</v>
      </c>
      <c r="F18" s="47">
        <v>0.39</v>
      </c>
      <c r="G18" s="47">
        <v>0.39</v>
      </c>
      <c r="H18" s="47"/>
      <c r="I18" s="47"/>
      <c r="J18" s="121"/>
      <c r="K18" s="46">
        <v>26.2</v>
      </c>
      <c r="L18" s="38">
        <v>26.25</v>
      </c>
      <c r="M18" s="120" t="s">
        <v>20</v>
      </c>
      <c r="N18" s="45" t="s">
        <v>20</v>
      </c>
      <c r="O18" s="45"/>
      <c r="P18" s="23"/>
      <c r="Q18" s="115" t="s">
        <v>50</v>
      </c>
      <c r="R18" s="37">
        <v>14.2</v>
      </c>
      <c r="S18" s="36">
        <f t="shared" si="0"/>
        <v>13.611565229352477</v>
      </c>
      <c r="T18" s="1">
        <v>3</v>
      </c>
      <c r="U18" s="1"/>
      <c r="V18" s="1"/>
      <c r="W18" s="12">
        <v>61</v>
      </c>
      <c r="X18" s="35">
        <f t="shared" si="1"/>
        <v>0</v>
      </c>
      <c r="Y18" s="35">
        <v>0</v>
      </c>
      <c r="Z18" s="34">
        <v>0</v>
      </c>
      <c r="AA18" s="114">
        <f t="shared" si="2"/>
        <v>0</v>
      </c>
    </row>
    <row r="19" spans="1:27">
      <c r="A19" s="12">
        <v>62</v>
      </c>
      <c r="B19" s="123"/>
      <c r="C19" s="41">
        <v>102</v>
      </c>
      <c r="D19" s="40">
        <v>102</v>
      </c>
      <c r="E19" s="122">
        <v>0.37</v>
      </c>
      <c r="F19" s="47">
        <v>0.38</v>
      </c>
      <c r="G19" s="47">
        <v>0.38</v>
      </c>
      <c r="H19" s="47"/>
      <c r="I19" s="47"/>
      <c r="J19" s="121"/>
      <c r="K19" s="46">
        <v>26.3</v>
      </c>
      <c r="L19" s="38">
        <v>26.19</v>
      </c>
      <c r="M19" s="120" t="s">
        <v>20</v>
      </c>
      <c r="N19" s="45" t="s">
        <v>20</v>
      </c>
      <c r="O19" s="45"/>
      <c r="P19" s="23"/>
      <c r="Q19" s="115" t="s">
        <v>21</v>
      </c>
      <c r="R19" s="37">
        <v>13.6</v>
      </c>
      <c r="S19" s="36">
        <f t="shared" si="0"/>
        <v>13.487609102113002</v>
      </c>
      <c r="T19" s="1">
        <v>3</v>
      </c>
      <c r="U19" s="1"/>
      <c r="V19" s="1"/>
      <c r="W19" s="12">
        <v>62</v>
      </c>
      <c r="X19" s="35">
        <f t="shared" si="1"/>
        <v>0</v>
      </c>
      <c r="Y19" s="35">
        <v>0</v>
      </c>
      <c r="Z19" s="34">
        <v>0</v>
      </c>
      <c r="AA19" s="114">
        <f t="shared" si="2"/>
        <v>0</v>
      </c>
    </row>
    <row r="20" spans="1:27">
      <c r="A20" s="12">
        <v>63</v>
      </c>
      <c r="B20" s="123"/>
      <c r="C20" s="41">
        <v>102</v>
      </c>
      <c r="D20" s="40">
        <v>102</v>
      </c>
      <c r="E20" s="122">
        <v>0.39</v>
      </c>
      <c r="F20" s="47">
        <v>0.39</v>
      </c>
      <c r="G20" s="47">
        <v>0.39</v>
      </c>
      <c r="H20" s="47"/>
      <c r="I20" s="47"/>
      <c r="J20" s="121"/>
      <c r="K20" s="46">
        <v>26.19</v>
      </c>
      <c r="L20" s="38">
        <v>26.26</v>
      </c>
      <c r="M20" s="120"/>
      <c r="N20" s="45" t="s">
        <v>20</v>
      </c>
      <c r="O20" s="45"/>
      <c r="P20" s="23"/>
      <c r="Q20" s="115"/>
      <c r="R20" s="37">
        <v>14</v>
      </c>
      <c r="S20" s="36">
        <f t="shared" si="0"/>
        <v>13.41985304302357</v>
      </c>
      <c r="T20" s="1">
        <v>3</v>
      </c>
      <c r="U20" s="1"/>
      <c r="V20" s="1"/>
      <c r="W20" s="12">
        <v>63</v>
      </c>
      <c r="X20" s="35">
        <f t="shared" si="1"/>
        <v>0</v>
      </c>
      <c r="Y20" s="35">
        <v>0</v>
      </c>
      <c r="Z20" s="34">
        <v>0</v>
      </c>
      <c r="AA20" s="114">
        <f t="shared" si="2"/>
        <v>0</v>
      </c>
    </row>
    <row r="21" spans="1:27">
      <c r="A21" s="12">
        <v>64</v>
      </c>
      <c r="B21" s="123"/>
      <c r="C21" s="41">
        <v>102</v>
      </c>
      <c r="D21" s="40">
        <v>102</v>
      </c>
      <c r="E21" s="122">
        <v>0.39</v>
      </c>
      <c r="F21" s="47">
        <v>0.39</v>
      </c>
      <c r="G21" s="47">
        <v>0.39</v>
      </c>
      <c r="H21" s="47"/>
      <c r="I21" s="47"/>
      <c r="J21" s="121"/>
      <c r="K21" s="46">
        <v>26.19</v>
      </c>
      <c r="L21" s="38">
        <v>26.25</v>
      </c>
      <c r="M21" s="120"/>
      <c r="N21" s="45"/>
      <c r="O21" s="45"/>
      <c r="P21" s="23"/>
      <c r="Q21" s="40"/>
      <c r="R21" s="37">
        <v>14.1</v>
      </c>
      <c r="S21" s="36">
        <f t="shared" si="0"/>
        <v>13.518286502537414</v>
      </c>
      <c r="T21" s="1">
        <v>3</v>
      </c>
      <c r="U21" s="1"/>
      <c r="V21" s="1"/>
      <c r="W21" s="12">
        <v>64</v>
      </c>
      <c r="X21" s="35">
        <f t="shared" si="1"/>
        <v>0</v>
      </c>
      <c r="Y21" s="35">
        <v>0</v>
      </c>
      <c r="Z21" s="34">
        <v>0</v>
      </c>
      <c r="AA21" s="114">
        <f t="shared" si="2"/>
        <v>0</v>
      </c>
    </row>
    <row r="22" spans="1:27">
      <c r="A22" s="12">
        <v>65</v>
      </c>
      <c r="B22" s="123"/>
      <c r="C22" s="41">
        <v>102</v>
      </c>
      <c r="D22" s="40">
        <v>102</v>
      </c>
      <c r="E22" s="122">
        <v>0.38</v>
      </c>
      <c r="F22" s="47">
        <v>0.38</v>
      </c>
      <c r="G22" s="47">
        <v>0.38</v>
      </c>
      <c r="H22" s="47"/>
      <c r="I22" s="47"/>
      <c r="J22" s="121"/>
      <c r="K22" s="46">
        <v>26.3</v>
      </c>
      <c r="L22" s="38">
        <v>26.17</v>
      </c>
      <c r="M22" s="120" t="s">
        <v>20</v>
      </c>
      <c r="N22" s="45"/>
      <c r="O22" s="45"/>
      <c r="P22" s="23"/>
      <c r="Q22" s="115"/>
      <c r="R22" s="37">
        <v>13.9</v>
      </c>
      <c r="S22" s="36">
        <f t="shared" si="0"/>
        <v>13.669416087781643</v>
      </c>
      <c r="T22" s="1">
        <v>3</v>
      </c>
      <c r="U22" s="1"/>
      <c r="V22" s="1"/>
      <c r="W22" s="12">
        <v>65</v>
      </c>
      <c r="X22" s="35">
        <f t="shared" si="1"/>
        <v>0</v>
      </c>
      <c r="Y22" s="35">
        <v>0</v>
      </c>
      <c r="Z22" s="34">
        <v>0</v>
      </c>
      <c r="AA22" s="114">
        <f t="shared" si="2"/>
        <v>0</v>
      </c>
    </row>
    <row r="23" spans="1:27">
      <c r="A23" s="12">
        <v>66</v>
      </c>
      <c r="B23" s="123"/>
      <c r="C23" s="41">
        <v>102</v>
      </c>
      <c r="D23" s="40">
        <v>102</v>
      </c>
      <c r="E23" s="122">
        <v>0.38</v>
      </c>
      <c r="F23" s="47">
        <v>0.38</v>
      </c>
      <c r="G23" s="47">
        <v>0.38</v>
      </c>
      <c r="H23" s="47"/>
      <c r="I23" s="47"/>
      <c r="J23" s="121"/>
      <c r="K23" s="46">
        <v>26.25</v>
      </c>
      <c r="L23" s="38">
        <v>26.25</v>
      </c>
      <c r="M23" s="120" t="s">
        <v>20</v>
      </c>
      <c r="N23" s="45" t="s">
        <v>20</v>
      </c>
      <c r="O23" s="45"/>
      <c r="P23" s="23"/>
      <c r="Q23" s="40" t="s">
        <v>19</v>
      </c>
      <c r="R23" s="37">
        <v>13.9</v>
      </c>
      <c r="S23" s="36">
        <f t="shared" si="0"/>
        <v>13.66160499287434</v>
      </c>
      <c r="T23" s="1">
        <v>3</v>
      </c>
      <c r="U23" s="1"/>
      <c r="V23" s="1"/>
      <c r="W23" s="12">
        <v>66</v>
      </c>
      <c r="X23" s="35">
        <f t="shared" si="1"/>
        <v>0</v>
      </c>
      <c r="Y23" s="35">
        <v>0</v>
      </c>
      <c r="Z23" s="34">
        <v>0</v>
      </c>
      <c r="AA23" s="114">
        <f t="shared" si="2"/>
        <v>0</v>
      </c>
    </row>
    <row r="24" spans="1:27">
      <c r="A24" s="12">
        <v>67</v>
      </c>
      <c r="B24" s="123"/>
      <c r="C24" s="41">
        <v>102</v>
      </c>
      <c r="D24" s="40">
        <v>102</v>
      </c>
      <c r="E24" s="122">
        <v>0.39</v>
      </c>
      <c r="F24" s="47">
        <v>0.39</v>
      </c>
      <c r="G24" s="47">
        <v>0.39</v>
      </c>
      <c r="H24" s="47"/>
      <c r="I24" s="47"/>
      <c r="J24" s="121"/>
      <c r="K24" s="46">
        <v>26.28</v>
      </c>
      <c r="L24" s="38">
        <v>26.27</v>
      </c>
      <c r="M24" s="120"/>
      <c r="N24" s="45"/>
      <c r="O24" s="45"/>
      <c r="P24" s="23"/>
      <c r="Q24" s="115" t="s">
        <v>21</v>
      </c>
      <c r="R24" s="37">
        <v>14.1</v>
      </c>
      <c r="S24" s="36">
        <f t="shared" si="0"/>
        <v>13.489989423274253</v>
      </c>
      <c r="T24" s="1">
        <v>3</v>
      </c>
      <c r="U24" s="1"/>
      <c r="V24" s="1"/>
      <c r="W24" s="12">
        <v>67</v>
      </c>
      <c r="X24" s="35">
        <f t="shared" si="1"/>
        <v>0</v>
      </c>
      <c r="Y24" s="35">
        <v>0</v>
      </c>
      <c r="Z24" s="34">
        <v>0</v>
      </c>
      <c r="AA24" s="114">
        <f t="shared" si="2"/>
        <v>0</v>
      </c>
    </row>
    <row r="25" spans="1:27">
      <c r="A25" s="12">
        <v>68</v>
      </c>
      <c r="B25" s="123"/>
      <c r="C25" s="41">
        <v>102</v>
      </c>
      <c r="D25" s="40">
        <v>102</v>
      </c>
      <c r="E25" s="122">
        <v>0.38</v>
      </c>
      <c r="F25" s="47">
        <v>0.38</v>
      </c>
      <c r="G25" s="47">
        <v>0.38</v>
      </c>
      <c r="H25" s="47"/>
      <c r="I25" s="47"/>
      <c r="J25" s="121"/>
      <c r="K25" s="46">
        <v>26.27</v>
      </c>
      <c r="L25" s="38">
        <v>26.13</v>
      </c>
      <c r="M25" s="120"/>
      <c r="N25" s="45"/>
      <c r="O25" s="45"/>
      <c r="P25" s="23"/>
      <c r="Q25" s="115" t="s">
        <v>21</v>
      </c>
      <c r="R25" s="37">
        <v>13.9</v>
      </c>
      <c r="S25" s="36">
        <f t="shared" si="0"/>
        <v>13.687676758127921</v>
      </c>
      <c r="T25" s="1">
        <v>3</v>
      </c>
      <c r="U25" s="1"/>
      <c r="V25" s="1"/>
      <c r="W25" s="12">
        <v>68</v>
      </c>
      <c r="X25" s="35">
        <f t="shared" si="1"/>
        <v>0</v>
      </c>
      <c r="Y25" s="35">
        <v>0</v>
      </c>
      <c r="Z25" s="34">
        <v>0</v>
      </c>
      <c r="AA25" s="114">
        <f t="shared" si="2"/>
        <v>0</v>
      </c>
    </row>
    <row r="26" spans="1:27">
      <c r="A26" s="12">
        <v>69</v>
      </c>
      <c r="B26" s="123"/>
      <c r="C26" s="41">
        <v>102</v>
      </c>
      <c r="D26" s="40">
        <v>102</v>
      </c>
      <c r="E26" s="122">
        <v>0.38</v>
      </c>
      <c r="F26" s="47">
        <v>0.38</v>
      </c>
      <c r="G26" s="47">
        <v>0.38</v>
      </c>
      <c r="H26" s="47"/>
      <c r="I26" s="47"/>
      <c r="J26" s="121"/>
      <c r="K26" s="46">
        <v>26.34</v>
      </c>
      <c r="L26" s="38">
        <v>26.23</v>
      </c>
      <c r="M26" s="120"/>
      <c r="N26" s="45" t="s">
        <v>20</v>
      </c>
      <c r="O26" s="45"/>
      <c r="P26" s="23"/>
      <c r="Q26" s="115"/>
      <c r="R26" s="37">
        <v>13.9</v>
      </c>
      <c r="S26" s="36">
        <f t="shared" si="0"/>
        <v>13.643413774508328</v>
      </c>
      <c r="T26" s="1">
        <v>3</v>
      </c>
      <c r="U26" s="1"/>
      <c r="V26" s="1"/>
      <c r="W26" s="12">
        <v>69</v>
      </c>
      <c r="X26" s="35">
        <f t="shared" si="1"/>
        <v>0</v>
      </c>
      <c r="Y26" s="35">
        <v>0</v>
      </c>
      <c r="Z26" s="34">
        <v>0</v>
      </c>
      <c r="AA26" s="114">
        <f t="shared" si="2"/>
        <v>0</v>
      </c>
    </row>
    <row r="27" spans="1:27">
      <c r="A27" s="12">
        <v>70</v>
      </c>
      <c r="B27" s="123"/>
      <c r="C27" s="41">
        <v>102</v>
      </c>
      <c r="D27" s="40">
        <v>102</v>
      </c>
      <c r="E27" s="122">
        <v>0.39</v>
      </c>
      <c r="F27" s="47">
        <v>0.39</v>
      </c>
      <c r="G27" s="47">
        <v>0.39</v>
      </c>
      <c r="H27" s="47"/>
      <c r="I27" s="47"/>
      <c r="J27" s="121"/>
      <c r="K27" s="46">
        <v>26.26</v>
      </c>
      <c r="L27" s="38">
        <v>26.28</v>
      </c>
      <c r="M27" s="120"/>
      <c r="N27" s="45" t="s">
        <v>20</v>
      </c>
      <c r="O27" s="45"/>
      <c r="P27" s="23"/>
      <c r="Q27" s="40" t="s">
        <v>19</v>
      </c>
      <c r="R27" s="37">
        <v>14.2</v>
      </c>
      <c r="S27" s="36">
        <f t="shared" si="0"/>
        <v>13.588248882366527</v>
      </c>
      <c r="T27" s="1">
        <v>3</v>
      </c>
      <c r="U27" s="1"/>
      <c r="V27" s="1"/>
      <c r="W27" s="12">
        <v>70</v>
      </c>
      <c r="X27" s="35">
        <f t="shared" si="1"/>
        <v>0</v>
      </c>
      <c r="Y27" s="35">
        <v>0</v>
      </c>
      <c r="Z27" s="34">
        <v>0</v>
      </c>
      <c r="AA27" s="114">
        <f t="shared" si="2"/>
        <v>0</v>
      </c>
    </row>
    <row r="28" spans="1:27">
      <c r="A28" s="12">
        <v>71</v>
      </c>
      <c r="B28" s="123"/>
      <c r="C28" s="41">
        <v>102</v>
      </c>
      <c r="D28" s="40">
        <v>102</v>
      </c>
      <c r="E28" s="122">
        <v>0.38</v>
      </c>
      <c r="F28" s="47">
        <v>0.38</v>
      </c>
      <c r="G28" s="47">
        <v>0.38</v>
      </c>
      <c r="H28" s="47"/>
      <c r="I28" s="47"/>
      <c r="J28" s="121"/>
      <c r="K28" s="46">
        <v>26.35</v>
      </c>
      <c r="L28" s="38">
        <v>26.19</v>
      </c>
      <c r="M28" s="120" t="s">
        <v>20</v>
      </c>
      <c r="N28" s="45"/>
      <c r="O28" s="45"/>
      <c r="P28" s="23"/>
      <c r="Q28" s="40" t="s">
        <v>19</v>
      </c>
      <c r="R28" s="37">
        <v>13.5</v>
      </c>
      <c r="S28" s="36">
        <f t="shared" si="0"/>
        <v>13.25836367043361</v>
      </c>
      <c r="T28" s="1">
        <v>3</v>
      </c>
      <c r="U28" s="1"/>
      <c r="V28" s="1"/>
      <c r="W28" s="12">
        <v>71</v>
      </c>
      <c r="X28" s="35">
        <f t="shared" si="1"/>
        <v>0</v>
      </c>
      <c r="Y28" s="35">
        <v>0</v>
      </c>
      <c r="Z28" s="34">
        <v>0</v>
      </c>
      <c r="AA28" s="114">
        <f t="shared" si="2"/>
        <v>0</v>
      </c>
    </row>
    <row r="29" spans="1:27">
      <c r="A29" s="12">
        <v>72</v>
      </c>
      <c r="B29" s="123"/>
      <c r="C29" s="41">
        <v>102</v>
      </c>
      <c r="D29" s="40">
        <v>102</v>
      </c>
      <c r="E29" s="122">
        <v>0.38</v>
      </c>
      <c r="F29" s="47">
        <v>0.38</v>
      </c>
      <c r="G29" s="47">
        <v>0.38</v>
      </c>
      <c r="H29" s="47"/>
      <c r="I29" s="47"/>
      <c r="J29" s="121"/>
      <c r="K29" s="46">
        <v>26.3</v>
      </c>
      <c r="L29" s="38">
        <v>26.21</v>
      </c>
      <c r="M29" s="120" t="s">
        <v>20</v>
      </c>
      <c r="N29" s="45"/>
      <c r="O29" s="45"/>
      <c r="P29" s="23"/>
      <c r="Q29" s="40"/>
      <c r="R29" s="37">
        <v>13.8</v>
      </c>
      <c r="S29" s="36">
        <f t="shared" si="0"/>
        <v>13.560737067331415</v>
      </c>
      <c r="T29" s="1">
        <v>3</v>
      </c>
      <c r="U29" s="1"/>
      <c r="V29" s="1"/>
      <c r="W29" s="12">
        <v>72</v>
      </c>
      <c r="X29" s="35">
        <f t="shared" si="1"/>
        <v>0</v>
      </c>
      <c r="Y29" s="35">
        <v>0</v>
      </c>
      <c r="Z29" s="34">
        <v>0</v>
      </c>
      <c r="AA29" s="114">
        <f t="shared" si="2"/>
        <v>0</v>
      </c>
    </row>
    <row r="30" spans="1:27">
      <c r="A30" s="12">
        <v>73</v>
      </c>
      <c r="B30" s="123"/>
      <c r="C30" s="41">
        <v>102</v>
      </c>
      <c r="D30" s="40">
        <v>102</v>
      </c>
      <c r="E30" s="122">
        <v>0.39</v>
      </c>
      <c r="F30" s="47">
        <v>0.39</v>
      </c>
      <c r="G30" s="47">
        <v>0.39</v>
      </c>
      <c r="H30" s="47"/>
      <c r="I30" s="47"/>
      <c r="J30" s="121"/>
      <c r="K30" s="46">
        <v>26.22</v>
      </c>
      <c r="L30" s="38">
        <v>26.27</v>
      </c>
      <c r="M30" s="120" t="s">
        <v>20</v>
      </c>
      <c r="N30" s="45"/>
      <c r="O30" s="45"/>
      <c r="P30" s="23"/>
      <c r="Q30" s="40"/>
      <c r="R30" s="37">
        <v>14</v>
      </c>
      <c r="S30" s="36">
        <f t="shared" si="0"/>
        <v>13.40962644516263</v>
      </c>
      <c r="T30" s="1">
        <v>3</v>
      </c>
      <c r="U30" s="1"/>
      <c r="V30" s="1"/>
      <c r="W30" s="12">
        <v>73</v>
      </c>
      <c r="X30" s="35">
        <f t="shared" si="1"/>
        <v>0</v>
      </c>
      <c r="Y30" s="35">
        <v>0</v>
      </c>
      <c r="Z30" s="34">
        <v>0</v>
      </c>
      <c r="AA30" s="114">
        <f t="shared" si="2"/>
        <v>0</v>
      </c>
    </row>
    <row r="31" spans="1:27">
      <c r="A31" s="12">
        <v>74</v>
      </c>
      <c r="B31" s="119"/>
      <c r="C31" s="41">
        <v>102</v>
      </c>
      <c r="D31" s="40">
        <v>102</v>
      </c>
      <c r="E31" s="118">
        <v>0.38</v>
      </c>
      <c r="F31" s="28">
        <v>0.38</v>
      </c>
      <c r="G31" s="28">
        <v>0.38</v>
      </c>
      <c r="H31" s="28"/>
      <c r="I31" s="28"/>
      <c r="J31" s="117"/>
      <c r="K31" s="39">
        <v>26.31</v>
      </c>
      <c r="L31" s="38">
        <v>26.18</v>
      </c>
      <c r="M31" s="116" t="s">
        <v>20</v>
      </c>
      <c r="N31" s="25"/>
      <c r="O31" s="25"/>
      <c r="P31" s="23"/>
      <c r="Q31" s="40"/>
      <c r="R31" s="37">
        <v>13.8</v>
      </c>
      <c r="S31" s="36">
        <f t="shared" si="0"/>
        <v>13.565904046591212</v>
      </c>
      <c r="T31" s="1">
        <v>3</v>
      </c>
      <c r="U31" s="1"/>
      <c r="V31" s="1"/>
      <c r="W31" s="12">
        <v>74</v>
      </c>
      <c r="X31" s="35">
        <f t="shared" si="1"/>
        <v>0</v>
      </c>
      <c r="Y31" s="35">
        <v>0</v>
      </c>
      <c r="Z31" s="34">
        <v>0</v>
      </c>
      <c r="AA31" s="114">
        <f t="shared" si="2"/>
        <v>0</v>
      </c>
    </row>
    <row r="32" spans="1:27">
      <c r="A32" s="12">
        <v>75</v>
      </c>
      <c r="B32" s="119"/>
      <c r="C32" s="41">
        <v>102</v>
      </c>
      <c r="D32" s="40">
        <v>102</v>
      </c>
      <c r="E32" s="118">
        <v>0.39</v>
      </c>
      <c r="F32" s="28">
        <v>0.39</v>
      </c>
      <c r="G32" s="28">
        <v>0.39</v>
      </c>
      <c r="H32" s="28"/>
      <c r="I32" s="28"/>
      <c r="J32" s="117"/>
      <c r="K32" s="39">
        <v>26.31</v>
      </c>
      <c r="L32" s="38">
        <v>26.15</v>
      </c>
      <c r="M32" s="116" t="s">
        <v>20</v>
      </c>
      <c r="N32" s="25" t="s">
        <v>20</v>
      </c>
      <c r="O32" s="25"/>
      <c r="P32" s="23"/>
      <c r="Q32" s="115" t="s">
        <v>19</v>
      </c>
      <c r="R32" s="37">
        <v>13.1</v>
      </c>
      <c r="S32" s="36">
        <f t="shared" si="0"/>
        <v>12.554754543048148</v>
      </c>
      <c r="T32" s="1">
        <v>3</v>
      </c>
      <c r="U32" s="1"/>
      <c r="V32" s="1"/>
      <c r="W32" s="12">
        <v>75</v>
      </c>
      <c r="X32" s="35">
        <f t="shared" si="1"/>
        <v>0</v>
      </c>
      <c r="Y32" s="35">
        <v>0</v>
      </c>
      <c r="Z32" s="34">
        <v>0</v>
      </c>
      <c r="AA32" s="114">
        <f t="shared" si="2"/>
        <v>0</v>
      </c>
    </row>
    <row r="33" spans="1:27">
      <c r="A33" s="44">
        <v>76</v>
      </c>
      <c r="B33" s="119"/>
      <c r="C33" s="41">
        <v>102</v>
      </c>
      <c r="D33" s="40">
        <v>102</v>
      </c>
      <c r="E33" s="118">
        <v>0.38</v>
      </c>
      <c r="F33" s="28">
        <v>0.38</v>
      </c>
      <c r="G33" s="28">
        <v>0.38</v>
      </c>
      <c r="H33" s="28"/>
      <c r="I33" s="28"/>
      <c r="J33" s="117"/>
      <c r="K33" s="39">
        <v>26.23</v>
      </c>
      <c r="L33" s="38">
        <v>26.24</v>
      </c>
      <c r="M33" s="116" t="s">
        <v>22</v>
      </c>
      <c r="N33" s="25"/>
      <c r="O33" s="25"/>
      <c r="P33" s="23"/>
      <c r="Q33" s="40"/>
      <c r="R33" s="37">
        <v>13.8</v>
      </c>
      <c r="S33" s="36">
        <f t="shared" si="0"/>
        <v>13.571074964847963</v>
      </c>
      <c r="T33" s="1">
        <v>3</v>
      </c>
      <c r="U33" s="1"/>
      <c r="V33" s="1"/>
      <c r="W33" s="44">
        <v>76</v>
      </c>
      <c r="X33" s="35">
        <f t="shared" si="1"/>
        <v>0</v>
      </c>
      <c r="Y33" s="35">
        <v>0</v>
      </c>
      <c r="Z33" s="34">
        <v>0</v>
      </c>
      <c r="AA33" s="114">
        <f t="shared" si="2"/>
        <v>1</v>
      </c>
    </row>
    <row r="34" spans="1:27">
      <c r="A34" s="12">
        <v>77</v>
      </c>
      <c r="B34" s="119"/>
      <c r="C34" s="41">
        <v>102</v>
      </c>
      <c r="D34" s="40">
        <v>102</v>
      </c>
      <c r="E34" s="118">
        <v>0.38</v>
      </c>
      <c r="F34" s="28">
        <v>0.38</v>
      </c>
      <c r="G34" s="28">
        <v>0.38</v>
      </c>
      <c r="H34" s="28"/>
      <c r="I34" s="28"/>
      <c r="J34" s="117"/>
      <c r="K34" s="39">
        <v>26.13</v>
      </c>
      <c r="L34" s="38">
        <v>26.26</v>
      </c>
      <c r="M34" s="116"/>
      <c r="N34" s="25" t="s">
        <v>20</v>
      </c>
      <c r="O34" s="25"/>
      <c r="P34" s="23"/>
      <c r="Q34" s="115"/>
      <c r="R34" s="37">
        <v>14</v>
      </c>
      <c r="S34" s="36">
        <f t="shared" si="0"/>
        <v>13.788780699489083</v>
      </c>
      <c r="T34" s="1">
        <v>3</v>
      </c>
      <c r="U34" s="1"/>
      <c r="V34" s="1"/>
      <c r="W34" s="12">
        <v>77</v>
      </c>
      <c r="X34" s="35">
        <f t="shared" si="1"/>
        <v>0</v>
      </c>
      <c r="Y34" s="35">
        <v>0</v>
      </c>
      <c r="Z34" s="34">
        <v>0</v>
      </c>
      <c r="AA34" s="114">
        <f t="shared" si="2"/>
        <v>0</v>
      </c>
    </row>
    <row r="35" spans="1:27">
      <c r="A35" s="12">
        <v>78</v>
      </c>
      <c r="B35" s="119"/>
      <c r="C35" s="41">
        <v>102</v>
      </c>
      <c r="D35" s="40">
        <v>102</v>
      </c>
      <c r="E35" s="118">
        <v>0.38</v>
      </c>
      <c r="F35" s="28">
        <v>0.38</v>
      </c>
      <c r="G35" s="28">
        <v>0.38</v>
      </c>
      <c r="H35" s="28"/>
      <c r="I35" s="28"/>
      <c r="J35" s="117"/>
      <c r="K35" s="39">
        <v>26.27</v>
      </c>
      <c r="L35" s="38">
        <v>26.16</v>
      </c>
      <c r="M35" s="116"/>
      <c r="N35" s="25"/>
      <c r="O35" s="25"/>
      <c r="P35" s="23"/>
      <c r="Q35" s="115"/>
      <c r="R35" s="37">
        <v>13.9</v>
      </c>
      <c r="S35" s="36">
        <f t="shared" si="0"/>
        <v>13.679844785922237</v>
      </c>
      <c r="T35" s="1">
        <v>3</v>
      </c>
      <c r="U35" s="1"/>
      <c r="V35" s="1"/>
      <c r="W35" s="12">
        <v>78</v>
      </c>
      <c r="X35" s="35">
        <f t="shared" si="1"/>
        <v>0</v>
      </c>
      <c r="Y35" s="35">
        <v>0</v>
      </c>
      <c r="Z35" s="34">
        <v>0</v>
      </c>
      <c r="AA35" s="114">
        <f t="shared" si="2"/>
        <v>0</v>
      </c>
    </row>
    <row r="36" spans="1:27">
      <c r="A36" s="12">
        <v>79</v>
      </c>
      <c r="B36" s="119"/>
      <c r="C36" s="41">
        <v>102</v>
      </c>
      <c r="D36" s="40">
        <v>102</v>
      </c>
      <c r="E36" s="118">
        <v>0.39</v>
      </c>
      <c r="F36" s="28">
        <v>0.39</v>
      </c>
      <c r="G36" s="28">
        <v>0.39</v>
      </c>
      <c r="H36" s="28"/>
      <c r="I36" s="28"/>
      <c r="J36" s="117"/>
      <c r="K36" s="39">
        <v>26.25</v>
      </c>
      <c r="L36" s="38">
        <v>26.17</v>
      </c>
      <c r="M36" s="116" t="s">
        <v>20</v>
      </c>
      <c r="N36" s="25"/>
      <c r="O36" s="25"/>
      <c r="P36" s="23"/>
      <c r="Q36" s="115"/>
      <c r="R36" s="37">
        <v>14.5</v>
      </c>
      <c r="S36" s="36">
        <f t="shared" si="0"/>
        <v>13.907087991968034</v>
      </c>
      <c r="T36" s="1">
        <v>3</v>
      </c>
      <c r="U36" s="1"/>
      <c r="V36" s="1"/>
      <c r="W36" s="12">
        <v>79</v>
      </c>
      <c r="X36" s="35">
        <f t="shared" si="1"/>
        <v>0</v>
      </c>
      <c r="Y36" s="35">
        <v>0</v>
      </c>
      <c r="Z36" s="34">
        <v>0</v>
      </c>
      <c r="AA36" s="114">
        <f t="shared" si="2"/>
        <v>0</v>
      </c>
    </row>
    <row r="37" spans="1:27">
      <c r="A37" s="12">
        <v>80</v>
      </c>
      <c r="B37" s="119"/>
      <c r="C37" s="41">
        <v>102</v>
      </c>
      <c r="D37" s="40">
        <v>102</v>
      </c>
      <c r="E37" s="118">
        <v>0.39</v>
      </c>
      <c r="F37" s="28">
        <v>0.39</v>
      </c>
      <c r="G37" s="28">
        <v>0.39</v>
      </c>
      <c r="H37" s="28"/>
      <c r="I37" s="28"/>
      <c r="J37" s="117"/>
      <c r="K37" s="39">
        <v>26.28</v>
      </c>
      <c r="L37" s="38">
        <v>26.23</v>
      </c>
      <c r="M37" s="116" t="s">
        <v>20</v>
      </c>
      <c r="N37" s="25" t="s">
        <v>20</v>
      </c>
      <c r="O37" s="25"/>
      <c r="P37" s="23"/>
      <c r="Q37" s="40"/>
      <c r="R37" s="37">
        <v>13.8</v>
      </c>
      <c r="S37" s="36">
        <f t="shared" si="0"/>
        <v>13.213025860476767</v>
      </c>
      <c r="T37" s="1">
        <v>3</v>
      </c>
      <c r="U37" s="1"/>
      <c r="V37" s="1"/>
      <c r="W37" s="12">
        <v>80</v>
      </c>
      <c r="X37" s="35">
        <f t="shared" si="1"/>
        <v>0</v>
      </c>
      <c r="Y37" s="35">
        <v>0</v>
      </c>
      <c r="Z37" s="34">
        <v>0</v>
      </c>
      <c r="AA37" s="114">
        <f t="shared" si="2"/>
        <v>0</v>
      </c>
    </row>
    <row r="38" spans="1:27">
      <c r="A38" s="12">
        <v>81</v>
      </c>
      <c r="B38" s="119"/>
      <c r="C38" s="41">
        <v>102</v>
      </c>
      <c r="D38" s="40">
        <v>102</v>
      </c>
      <c r="E38" s="118">
        <v>0.39</v>
      </c>
      <c r="F38" s="28">
        <v>0.39</v>
      </c>
      <c r="G38" s="28">
        <v>0.39</v>
      </c>
      <c r="H38" s="28"/>
      <c r="I38" s="28"/>
      <c r="J38" s="117"/>
      <c r="K38" s="39">
        <v>26.24</v>
      </c>
      <c r="L38" s="38">
        <v>26.24</v>
      </c>
      <c r="M38" s="116"/>
      <c r="N38" s="25"/>
      <c r="O38" s="25"/>
      <c r="P38" s="23"/>
      <c r="Q38" s="40"/>
      <c r="R38" s="37">
        <v>14.3</v>
      </c>
      <c r="S38" s="36">
        <f t="shared" si="0"/>
        <v>13.699585525267022</v>
      </c>
      <c r="T38" s="1">
        <v>3</v>
      </c>
      <c r="U38" s="1"/>
      <c r="V38" s="1"/>
      <c r="W38" s="12">
        <v>81</v>
      </c>
      <c r="X38" s="35">
        <f t="shared" si="1"/>
        <v>0</v>
      </c>
      <c r="Y38" s="35">
        <v>0</v>
      </c>
      <c r="Z38" s="34">
        <v>0</v>
      </c>
      <c r="AA38" s="114">
        <f t="shared" si="2"/>
        <v>0</v>
      </c>
    </row>
    <row r="39" spans="1:27">
      <c r="A39" s="12">
        <v>82</v>
      </c>
      <c r="B39" s="119"/>
      <c r="C39" s="41">
        <v>102</v>
      </c>
      <c r="D39" s="40">
        <v>102</v>
      </c>
      <c r="E39" s="118">
        <v>0.39</v>
      </c>
      <c r="F39" s="28">
        <v>0.39</v>
      </c>
      <c r="G39" s="28">
        <v>0.39</v>
      </c>
      <c r="H39" s="28"/>
      <c r="I39" s="28"/>
      <c r="J39" s="117"/>
      <c r="K39" s="39">
        <v>26.23</v>
      </c>
      <c r="L39" s="38">
        <v>26.28</v>
      </c>
      <c r="M39" s="116" t="s">
        <v>20</v>
      </c>
      <c r="N39" s="25"/>
      <c r="O39" s="25"/>
      <c r="P39" s="23"/>
      <c r="Q39" s="115" t="s">
        <v>21</v>
      </c>
      <c r="R39" s="37">
        <v>14</v>
      </c>
      <c r="S39" s="36">
        <f t="shared" si="0"/>
        <v>13.404518988889473</v>
      </c>
      <c r="T39" s="1">
        <v>3</v>
      </c>
      <c r="U39" s="1"/>
      <c r="V39" s="1"/>
      <c r="W39" s="12">
        <v>82</v>
      </c>
      <c r="X39" s="35">
        <f t="shared" si="1"/>
        <v>0</v>
      </c>
      <c r="Y39" s="35">
        <v>0</v>
      </c>
      <c r="Z39" s="34">
        <v>0</v>
      </c>
      <c r="AA39" s="114">
        <f t="shared" si="2"/>
        <v>0</v>
      </c>
    </row>
    <row r="40" spans="1:27" s="103" customFormat="1">
      <c r="A40" s="71">
        <v>83</v>
      </c>
      <c r="B40" s="113"/>
      <c r="C40" s="31">
        <v>102</v>
      </c>
      <c r="D40" s="30">
        <v>102</v>
      </c>
      <c r="E40" s="112">
        <v>0.39</v>
      </c>
      <c r="F40" s="111">
        <v>0.38</v>
      </c>
      <c r="G40" s="111">
        <v>0.38</v>
      </c>
      <c r="H40" s="111"/>
      <c r="I40" s="111"/>
      <c r="J40" s="110"/>
      <c r="K40" s="27">
        <v>26.18</v>
      </c>
      <c r="L40" s="26">
        <v>26.3</v>
      </c>
      <c r="M40" s="109"/>
      <c r="N40" s="108"/>
      <c r="O40" s="108"/>
      <c r="P40" s="107"/>
      <c r="Q40" s="106"/>
      <c r="R40" s="21">
        <v>13.8</v>
      </c>
      <c r="S40" s="20">
        <f t="shared" si="0"/>
        <v>13.450502152080345</v>
      </c>
      <c r="T40" s="71">
        <v>3</v>
      </c>
      <c r="U40" s="71"/>
      <c r="V40" s="71"/>
      <c r="W40" s="71">
        <v>83</v>
      </c>
      <c r="X40" s="19">
        <f t="shared" si="1"/>
        <v>0</v>
      </c>
      <c r="Y40" s="19">
        <v>0</v>
      </c>
      <c r="Z40" s="105">
        <v>0</v>
      </c>
      <c r="AA40" s="104">
        <f t="shared" si="2"/>
        <v>0</v>
      </c>
    </row>
    <row r="41" spans="1:27">
      <c r="A41" s="12"/>
      <c r="B41" s="25"/>
      <c r="C41" s="23"/>
      <c r="D41" s="23"/>
      <c r="E41" s="42"/>
      <c r="F41" s="28"/>
      <c r="G41" s="28"/>
      <c r="H41" s="28"/>
      <c r="I41" s="28"/>
      <c r="J41" s="28"/>
      <c r="K41" s="101"/>
      <c r="L41" s="11"/>
      <c r="M41" s="25"/>
      <c r="N41" s="25"/>
      <c r="O41" s="24"/>
      <c r="P41" s="23"/>
      <c r="Q41" s="22"/>
      <c r="R41" s="9"/>
      <c r="S41" s="100"/>
      <c r="T41" s="1"/>
      <c r="U41" s="1"/>
      <c r="V41" s="1"/>
      <c r="W41" s="1"/>
      <c r="X41" s="1"/>
      <c r="Y41" s="1">
        <f>SUM(Y12:Y40)</f>
        <v>0</v>
      </c>
      <c r="Z41" s="1">
        <f>SUM(Z12:Z40)</f>
        <v>0</v>
      </c>
      <c r="AA41" s="51">
        <f>SUM(AA12:AA40)</f>
        <v>1</v>
      </c>
    </row>
    <row r="42" spans="1:27">
      <c r="A42" s="12"/>
      <c r="B42" s="25"/>
      <c r="C42" s="23"/>
      <c r="D42" s="23"/>
      <c r="E42" s="42"/>
      <c r="F42" s="28"/>
      <c r="G42" s="28"/>
      <c r="H42" s="28"/>
      <c r="I42" s="28"/>
      <c r="J42" s="28"/>
      <c r="K42" s="101"/>
      <c r="L42" s="11"/>
      <c r="M42" s="25"/>
      <c r="N42" s="25"/>
      <c r="O42" s="24"/>
      <c r="P42" s="23"/>
      <c r="Q42" s="22"/>
      <c r="R42" s="9"/>
      <c r="S42" s="100"/>
      <c r="T42" s="1"/>
      <c r="U42" s="1"/>
      <c r="V42" s="1"/>
      <c r="W42" s="1"/>
      <c r="X42" s="1"/>
      <c r="Y42" s="1"/>
      <c r="Z42" s="1"/>
    </row>
    <row r="43" spans="1:27">
      <c r="A43" s="12" t="s">
        <v>17</v>
      </c>
      <c r="B43" s="25"/>
      <c r="C43" s="23" t="s">
        <v>16</v>
      </c>
      <c r="D43" s="23"/>
      <c r="E43" s="390" t="s">
        <v>15</v>
      </c>
      <c r="F43" s="390"/>
      <c r="G43" s="28"/>
      <c r="H43" s="28"/>
      <c r="I43" s="28"/>
      <c r="J43" s="28"/>
      <c r="K43" s="391" t="s">
        <v>14</v>
      </c>
      <c r="L43" s="391"/>
      <c r="M43" s="25"/>
      <c r="N43" s="25"/>
      <c r="O43" s="24"/>
      <c r="P43" s="23"/>
      <c r="Q43" s="22"/>
      <c r="R43" s="9" t="s">
        <v>13</v>
      </c>
      <c r="S43" s="100" t="s">
        <v>12</v>
      </c>
      <c r="T43" s="1"/>
      <c r="U43" s="1"/>
      <c r="V43" s="1"/>
      <c r="W43" s="1"/>
      <c r="X43" s="1"/>
      <c r="Y43" s="1"/>
      <c r="Z43" s="1"/>
    </row>
    <row r="44" spans="1:27">
      <c r="A44" s="12"/>
      <c r="B44" s="25"/>
      <c r="C44" s="23"/>
      <c r="D44" s="23"/>
      <c r="E44" s="42"/>
      <c r="F44" s="28"/>
      <c r="G44" s="28"/>
      <c r="H44" s="28"/>
      <c r="I44" s="28"/>
      <c r="J44" s="28"/>
      <c r="K44" s="101"/>
      <c r="L44" s="11"/>
      <c r="M44" s="25"/>
      <c r="N44" s="25"/>
      <c r="O44" s="24"/>
      <c r="P44" s="23"/>
      <c r="Q44" s="23"/>
      <c r="R44" s="9"/>
      <c r="S44" s="100"/>
      <c r="T44" s="1"/>
      <c r="U44" s="1"/>
      <c r="V44" s="1"/>
      <c r="W44" s="1"/>
      <c r="X44" s="1"/>
      <c r="Y44" s="1"/>
      <c r="Z44" s="1"/>
    </row>
    <row r="45" spans="1:27">
      <c r="A45" s="12" t="s">
        <v>11</v>
      </c>
      <c r="B45" s="25"/>
      <c r="C45" s="23">
        <f>4*25.4</f>
        <v>101.6</v>
      </c>
      <c r="D45" s="23"/>
      <c r="E45" s="42">
        <f>C6</f>
        <v>0.38099999999999995</v>
      </c>
      <c r="F45" s="28"/>
      <c r="G45" s="28"/>
      <c r="H45" s="28"/>
      <c r="I45" s="28"/>
      <c r="J45" s="28"/>
      <c r="K45" s="101">
        <v>25.4</v>
      </c>
      <c r="L45" s="11"/>
      <c r="M45" s="25"/>
      <c r="N45" s="25"/>
      <c r="O45" s="24"/>
      <c r="P45" s="23"/>
      <c r="Q45" s="22"/>
      <c r="R45" s="9"/>
      <c r="S45" s="100"/>
      <c r="T45" s="1"/>
      <c r="U45" s="1"/>
      <c r="V45" s="1"/>
      <c r="W45" s="1"/>
      <c r="X45" s="1"/>
      <c r="Y45" s="1"/>
      <c r="Z45" s="1"/>
    </row>
    <row r="46" spans="1:27">
      <c r="A46" s="12" t="s">
        <v>10</v>
      </c>
      <c r="B46" s="25"/>
      <c r="C46" s="23">
        <f>MODE(C12:D40)</f>
        <v>102</v>
      </c>
      <c r="D46" s="23"/>
      <c r="E46" s="42">
        <f>MODE(E12:G40)</f>
        <v>0.39</v>
      </c>
      <c r="F46" s="28"/>
      <c r="G46" s="28"/>
      <c r="H46" s="28"/>
      <c r="I46" s="28"/>
      <c r="J46" s="28"/>
      <c r="K46" s="101">
        <f>MODE(K12:L40)</f>
        <v>26.25</v>
      </c>
      <c r="L46" s="11"/>
      <c r="M46" s="25"/>
      <c r="N46" s="25"/>
      <c r="O46" s="24"/>
      <c r="P46" s="23"/>
      <c r="Q46" s="22"/>
      <c r="R46" s="9">
        <f>MODE(R12:R40)</f>
        <v>13.9</v>
      </c>
      <c r="S46" s="100" t="e">
        <f>MODE(S12:S40)</f>
        <v>#N/A</v>
      </c>
      <c r="T46" s="1"/>
      <c r="U46" s="1"/>
      <c r="V46" s="1"/>
      <c r="W46" s="1"/>
      <c r="X46" s="1"/>
      <c r="Y46" s="1"/>
      <c r="Z46" s="1"/>
    </row>
    <row r="47" spans="1:27">
      <c r="A47" s="12" t="s">
        <v>9</v>
      </c>
      <c r="B47" s="25"/>
      <c r="C47" s="23">
        <f>AVERAGE(C12:D40)</f>
        <v>102</v>
      </c>
      <c r="D47" s="23"/>
      <c r="E47" s="42">
        <f>AVERAGE(E12:G40)</f>
        <v>0.38482758620689661</v>
      </c>
      <c r="F47" s="28"/>
      <c r="G47" s="28"/>
      <c r="H47" s="28"/>
      <c r="I47" s="28"/>
      <c r="J47" s="28"/>
      <c r="K47" s="101">
        <f>AVERAGE(K12:L40)</f>
        <v>26.235344827586211</v>
      </c>
      <c r="L47" s="11"/>
      <c r="M47" s="25"/>
      <c r="N47" s="25"/>
      <c r="O47" s="24"/>
      <c r="P47" s="23"/>
      <c r="Q47" s="22"/>
      <c r="R47" s="9">
        <f>AVERAGE(R12:R40)</f>
        <v>13.955172413793107</v>
      </c>
      <c r="S47" s="100">
        <f>AVERAGE(S12:S40)</f>
        <v>13.552415351965426</v>
      </c>
      <c r="T47" s="1"/>
      <c r="U47" s="1"/>
      <c r="V47" s="1"/>
      <c r="W47" s="1"/>
      <c r="X47" s="1"/>
      <c r="Y47" s="1"/>
      <c r="Z47" s="1"/>
    </row>
    <row r="48" spans="1:27">
      <c r="A48" s="12" t="s">
        <v>8</v>
      </c>
      <c r="B48" s="25"/>
      <c r="C48" s="23">
        <f>STDEV(C12:D40)</f>
        <v>0</v>
      </c>
      <c r="D48" s="23"/>
      <c r="E48" s="42">
        <f>STDEV(E12:G40)</f>
        <v>6.6230866417399141E-3</v>
      </c>
      <c r="F48" s="28"/>
      <c r="G48" s="28"/>
      <c r="H48" s="28"/>
      <c r="I48" s="28"/>
      <c r="J48" s="28"/>
      <c r="K48" s="101">
        <f>STDEV(K12:L40)</f>
        <v>5.4296635456532613E-2</v>
      </c>
      <c r="L48" s="11"/>
      <c r="M48" s="25"/>
      <c r="N48" s="25"/>
      <c r="O48" s="24"/>
      <c r="P48" s="23"/>
      <c r="Q48" s="22"/>
      <c r="R48" s="9">
        <f>STDEV(R12:R40)</f>
        <v>0.30069705554232262</v>
      </c>
      <c r="S48" s="100">
        <f>STDEV(S12:S40)</f>
        <v>0.24929466884975912</v>
      </c>
      <c r="T48" s="1"/>
      <c r="U48" s="1"/>
      <c r="V48" s="1"/>
      <c r="W48" s="1"/>
      <c r="X48" s="1"/>
      <c r="Y48" s="1"/>
      <c r="Z48" s="1"/>
    </row>
    <row r="49" spans="1:26">
      <c r="A49" s="12" t="s">
        <v>7</v>
      </c>
      <c r="B49" s="25"/>
      <c r="C49" s="23">
        <f>C47+C48</f>
        <v>102</v>
      </c>
      <c r="D49" s="23"/>
      <c r="E49" s="42">
        <f>E47+E48</f>
        <v>0.39145067284863655</v>
      </c>
      <c r="F49" s="28"/>
      <c r="G49" s="28"/>
      <c r="H49" s="28"/>
      <c r="I49" s="28"/>
      <c r="J49" s="28"/>
      <c r="K49" s="101">
        <f>K47+K48</f>
        <v>26.289641463042742</v>
      </c>
      <c r="L49" s="11"/>
      <c r="M49" s="25"/>
      <c r="N49" s="25"/>
      <c r="O49" s="24"/>
      <c r="P49" s="23"/>
      <c r="Q49" s="23"/>
      <c r="R49" s="9">
        <f>R47+R48</f>
        <v>14.25586946933543</v>
      </c>
      <c r="S49" s="100">
        <f>S47+S48</f>
        <v>13.801710020815184</v>
      </c>
      <c r="T49" s="1"/>
      <c r="U49" s="1"/>
      <c r="V49" s="1"/>
      <c r="W49" s="1"/>
      <c r="X49" s="1"/>
      <c r="Y49" s="1"/>
      <c r="Z49" s="1"/>
    </row>
    <row r="50" spans="1:26">
      <c r="A50" s="12" t="s">
        <v>6</v>
      </c>
      <c r="B50" s="25"/>
      <c r="C50" s="23">
        <f>C47-C48</f>
        <v>102</v>
      </c>
      <c r="D50" s="23"/>
      <c r="E50" s="42">
        <f>E47-E48</f>
        <v>0.37820449956515667</v>
      </c>
      <c r="F50" s="28"/>
      <c r="G50" s="28"/>
      <c r="H50" s="28"/>
      <c r="I50" s="28"/>
      <c r="J50" s="28"/>
      <c r="K50" s="101">
        <f>K47-K48</f>
        <v>26.18104819212968</v>
      </c>
      <c r="L50" s="11"/>
      <c r="M50" s="25"/>
      <c r="N50" s="25"/>
      <c r="O50" s="24"/>
      <c r="P50" s="23"/>
      <c r="Q50" s="23"/>
      <c r="R50" s="9">
        <f>R47-R48</f>
        <v>13.654475358250785</v>
      </c>
      <c r="S50" s="100">
        <f>S47-S48</f>
        <v>13.303120683115667</v>
      </c>
      <c r="T50" s="1"/>
      <c r="U50" s="1"/>
      <c r="V50" s="1"/>
      <c r="W50" s="1"/>
      <c r="X50" s="1"/>
      <c r="Y50" s="1"/>
      <c r="Z50" s="1"/>
    </row>
    <row r="51" spans="1:26">
      <c r="A51" s="102" t="s">
        <v>5</v>
      </c>
      <c r="B51" s="25"/>
      <c r="C51" s="23">
        <f>MAX(C12:D40)-C45</f>
        <v>0.40000000000000568</v>
      </c>
      <c r="D51" s="23"/>
      <c r="E51" s="42">
        <f>MAX(E12:G40)-E45</f>
        <v>9.0000000000000635E-3</v>
      </c>
      <c r="F51" s="28"/>
      <c r="G51" s="28"/>
      <c r="H51" s="28"/>
      <c r="I51" s="28"/>
      <c r="J51" s="28"/>
      <c r="K51" s="101">
        <f>MAX(K12:L40)-$K$45</f>
        <v>0.95000000000000284</v>
      </c>
      <c r="L51" s="11"/>
      <c r="M51" s="25"/>
      <c r="N51" s="25"/>
      <c r="O51" s="24"/>
      <c r="P51" s="23"/>
      <c r="Q51" s="23"/>
      <c r="R51" s="9"/>
      <c r="S51" s="100"/>
      <c r="T51" s="1"/>
      <c r="U51" s="1"/>
      <c r="V51" s="1"/>
      <c r="W51" s="1"/>
      <c r="X51" s="1"/>
      <c r="Y51" s="1"/>
      <c r="Z51" s="1"/>
    </row>
    <row r="52" spans="1:26">
      <c r="A52" s="102" t="s">
        <v>4</v>
      </c>
      <c r="B52" s="25"/>
      <c r="C52" s="23">
        <f>MIN(C12:D40)-C45</f>
        <v>0.40000000000000568</v>
      </c>
      <c r="D52" s="23"/>
      <c r="E52" s="42">
        <f>MIN(E12:G40)-E45</f>
        <v>-2.0999999999999963E-2</v>
      </c>
      <c r="F52" s="28"/>
      <c r="G52" s="28"/>
      <c r="H52" s="28"/>
      <c r="I52" s="28"/>
      <c r="J52" s="28"/>
      <c r="K52" s="101">
        <f>MIN(K12:L40)-K45</f>
        <v>0.71000000000000085</v>
      </c>
      <c r="L52" s="11"/>
      <c r="M52" s="25"/>
      <c r="N52" s="25"/>
      <c r="O52" s="24"/>
      <c r="P52" s="23"/>
      <c r="Q52" s="22"/>
      <c r="R52" s="9"/>
      <c r="S52" s="100"/>
      <c r="T52" s="1"/>
      <c r="U52" s="1"/>
      <c r="V52" s="1"/>
      <c r="W52" s="1"/>
      <c r="X52" s="1"/>
      <c r="Y52" s="1"/>
      <c r="Z52" s="1"/>
    </row>
    <row r="53" spans="1:26" ht="15" thickBot="1">
      <c r="A53" s="12"/>
      <c r="B53" s="25"/>
      <c r="C53" s="23"/>
      <c r="D53" s="23"/>
      <c r="E53" s="42"/>
      <c r="F53" s="28"/>
      <c r="G53" s="28"/>
      <c r="H53" s="28"/>
      <c r="I53" s="28"/>
      <c r="J53" s="28"/>
      <c r="K53" s="101"/>
      <c r="L53" s="11"/>
      <c r="M53" s="25"/>
      <c r="N53" s="25"/>
      <c r="O53" s="24"/>
      <c r="P53" s="23"/>
      <c r="Q53" s="23"/>
      <c r="R53" s="9"/>
      <c r="S53" s="100"/>
      <c r="T53" s="1"/>
      <c r="U53" s="1"/>
      <c r="V53" s="1"/>
      <c r="W53" s="1"/>
      <c r="X53" s="1"/>
      <c r="Y53" s="1"/>
      <c r="Z53" s="1"/>
    </row>
    <row r="54" spans="1:26">
      <c r="A54" s="32" t="s">
        <v>3</v>
      </c>
      <c r="B54" s="25"/>
      <c r="C54" s="5" t="s">
        <v>2</v>
      </c>
      <c r="D54" s="5" t="s">
        <v>1</v>
      </c>
      <c r="E54" s="42"/>
      <c r="F54" s="28"/>
      <c r="G54" s="28"/>
      <c r="H54" s="28"/>
      <c r="I54" s="28"/>
      <c r="J54" s="28"/>
      <c r="K54" s="101"/>
      <c r="L54" s="11"/>
      <c r="M54" s="25"/>
      <c r="N54" s="25"/>
      <c r="O54" s="24"/>
      <c r="P54" s="23"/>
      <c r="Q54" s="22"/>
      <c r="R54" s="9"/>
      <c r="S54" s="100"/>
      <c r="T54" s="1"/>
      <c r="U54" s="1"/>
      <c r="V54" s="1"/>
      <c r="W54" s="1"/>
      <c r="X54" s="1"/>
      <c r="Y54" s="1"/>
      <c r="Z54" s="1"/>
    </row>
    <row r="55" spans="1:26">
      <c r="A55" s="12">
        <v>0.35</v>
      </c>
      <c r="B55" s="25"/>
      <c r="C55" s="4">
        <v>0.35</v>
      </c>
      <c r="D55" s="3">
        <v>0</v>
      </c>
      <c r="E55" s="42"/>
      <c r="F55" s="28"/>
      <c r="G55" s="28"/>
      <c r="H55" s="28"/>
      <c r="I55" s="28"/>
      <c r="J55" s="28"/>
      <c r="K55" s="101"/>
      <c r="L55" s="11"/>
      <c r="M55" s="25"/>
      <c r="N55" s="25"/>
      <c r="O55" s="24"/>
      <c r="P55" s="23"/>
      <c r="Q55" s="23"/>
      <c r="R55" s="9"/>
      <c r="S55" s="100"/>
      <c r="T55" s="1"/>
      <c r="U55" s="1"/>
      <c r="V55" s="1"/>
      <c r="W55" s="1"/>
      <c r="X55" s="1"/>
      <c r="Y55" s="1"/>
      <c r="Z55" s="1"/>
    </row>
    <row r="56" spans="1:26">
      <c r="A56" s="12">
        <f>A55+0.01</f>
        <v>0.36</v>
      </c>
      <c r="B56" s="25"/>
      <c r="C56" s="4">
        <v>0.36</v>
      </c>
      <c r="D56" s="3">
        <v>2</v>
      </c>
      <c r="E56" s="42"/>
      <c r="F56" s="28"/>
      <c r="G56" s="28"/>
      <c r="H56" s="28"/>
      <c r="I56" s="28"/>
      <c r="J56" s="28"/>
      <c r="K56" s="101"/>
      <c r="L56" s="11"/>
      <c r="M56" s="25"/>
      <c r="N56" s="25"/>
      <c r="O56" s="24"/>
      <c r="P56" s="23"/>
      <c r="Q56" s="23"/>
      <c r="R56" s="9"/>
      <c r="S56" s="100"/>
      <c r="T56" s="1"/>
      <c r="U56" s="1"/>
      <c r="V56" s="1"/>
      <c r="W56" s="1"/>
      <c r="X56" s="1"/>
      <c r="Y56" s="1"/>
      <c r="Z56" s="1"/>
    </row>
    <row r="57" spans="1:26">
      <c r="A57" s="12">
        <f>A56+0.01</f>
        <v>0.37</v>
      </c>
      <c r="B57" s="25"/>
      <c r="C57" s="4">
        <v>0.37</v>
      </c>
      <c r="D57" s="3">
        <v>2</v>
      </c>
      <c r="E57" s="42"/>
      <c r="F57" s="28"/>
      <c r="G57" s="28"/>
      <c r="H57" s="28"/>
      <c r="I57" s="28"/>
      <c r="J57" s="28"/>
      <c r="K57" s="101"/>
      <c r="L57" s="11"/>
      <c r="M57" s="25"/>
      <c r="N57" s="25"/>
      <c r="O57" s="24"/>
      <c r="P57" s="23"/>
      <c r="Q57" s="23"/>
      <c r="R57" s="9"/>
      <c r="S57" s="100"/>
      <c r="T57" s="1"/>
      <c r="U57" s="1"/>
      <c r="V57" s="1"/>
      <c r="W57" s="1"/>
      <c r="X57" s="1"/>
      <c r="Y57" s="1"/>
      <c r="Z57" s="1"/>
    </row>
    <row r="58" spans="1:26">
      <c r="A58" s="12">
        <f>A57+0.01</f>
        <v>0.38</v>
      </c>
      <c r="B58" s="25"/>
      <c r="C58" s="4">
        <v>0.38</v>
      </c>
      <c r="D58" s="3">
        <v>35</v>
      </c>
      <c r="E58" s="42"/>
      <c r="F58" s="28"/>
      <c r="G58" s="28"/>
      <c r="H58" s="28"/>
      <c r="I58" s="28"/>
      <c r="J58" s="28"/>
      <c r="K58" s="101"/>
      <c r="L58" s="11"/>
      <c r="M58" s="25"/>
      <c r="N58" s="25"/>
      <c r="O58" s="24"/>
      <c r="P58" s="23"/>
      <c r="Q58" s="22"/>
      <c r="R58" s="9"/>
      <c r="S58" s="100"/>
      <c r="T58" s="1"/>
      <c r="U58" s="1"/>
      <c r="V58" s="1"/>
      <c r="W58" s="1"/>
      <c r="X58" s="1"/>
      <c r="Y58" s="1"/>
      <c r="Z58" s="1"/>
    </row>
    <row r="59" spans="1:26">
      <c r="A59" s="12">
        <f>A58+0.01</f>
        <v>0.39</v>
      </c>
      <c r="B59" s="25"/>
      <c r="C59" s="4">
        <v>0.39</v>
      </c>
      <c r="D59" s="3">
        <v>48</v>
      </c>
      <c r="E59" s="42"/>
      <c r="F59" s="28"/>
      <c r="G59" s="28"/>
      <c r="H59" s="28"/>
      <c r="I59" s="28"/>
      <c r="J59" s="28"/>
      <c r="K59" s="101"/>
      <c r="L59" s="11"/>
      <c r="M59" s="25"/>
      <c r="N59" s="25"/>
      <c r="O59" s="24"/>
      <c r="P59" s="23"/>
      <c r="Q59" s="23"/>
      <c r="R59" s="9"/>
      <c r="S59" s="100"/>
      <c r="T59" s="1"/>
      <c r="U59" s="1"/>
      <c r="V59" s="1"/>
      <c r="W59" s="1"/>
      <c r="X59" s="1"/>
      <c r="Y59" s="1"/>
      <c r="Z59" s="1"/>
    </row>
    <row r="60" spans="1:26">
      <c r="A60" s="12">
        <f>A59+0.01</f>
        <v>0.4</v>
      </c>
      <c r="B60" s="25"/>
      <c r="C60" s="4">
        <v>0.4</v>
      </c>
      <c r="D60" s="3">
        <v>0</v>
      </c>
      <c r="E60" s="42"/>
      <c r="F60" s="28"/>
      <c r="G60" s="28"/>
      <c r="H60" s="28"/>
      <c r="I60" s="28"/>
      <c r="J60" s="28"/>
      <c r="K60" s="101"/>
      <c r="L60" s="11"/>
      <c r="M60" s="25"/>
      <c r="N60" s="25"/>
      <c r="O60" s="24"/>
      <c r="P60" s="23"/>
      <c r="Q60" s="22"/>
      <c r="R60" s="9"/>
      <c r="S60" s="100"/>
      <c r="T60" s="1"/>
      <c r="U60" s="1"/>
      <c r="V60" s="1"/>
      <c r="W60" s="1"/>
      <c r="X60" s="1"/>
      <c r="Y60" s="1"/>
      <c r="Z60" s="1"/>
    </row>
    <row r="61" spans="1:26" ht="15" thickBot="1">
      <c r="A61" s="12"/>
      <c r="B61" s="25"/>
      <c r="C61" s="2" t="s">
        <v>0</v>
      </c>
      <c r="D61" s="2">
        <v>0</v>
      </c>
      <c r="E61" s="42"/>
      <c r="F61" s="28"/>
      <c r="G61" s="28"/>
      <c r="H61" s="28"/>
      <c r="I61" s="28"/>
      <c r="J61" s="28"/>
      <c r="K61" s="101"/>
      <c r="L61" s="11"/>
      <c r="M61" s="25"/>
      <c r="N61" s="25"/>
      <c r="O61" s="24"/>
      <c r="P61" s="23"/>
      <c r="Q61" s="22"/>
      <c r="R61" s="9"/>
      <c r="S61" s="100"/>
      <c r="T61" s="1"/>
      <c r="U61" s="1"/>
      <c r="V61" s="1"/>
      <c r="W61" s="1"/>
      <c r="X61" s="1"/>
      <c r="Y61" s="1"/>
      <c r="Z61" s="1"/>
    </row>
    <row r="62" spans="1:26">
      <c r="A62" s="12"/>
      <c r="B62" s="25"/>
      <c r="C62" s="23"/>
      <c r="D62" s="23"/>
      <c r="E62" s="42"/>
      <c r="F62" s="28"/>
      <c r="G62" s="28"/>
      <c r="H62" s="28"/>
      <c r="I62" s="28"/>
      <c r="J62" s="28"/>
      <c r="K62" s="101"/>
      <c r="L62" s="11"/>
      <c r="M62" s="25"/>
      <c r="N62" s="25"/>
      <c r="O62" s="24"/>
      <c r="P62" s="23"/>
      <c r="Q62" s="23"/>
      <c r="R62" s="9"/>
      <c r="S62" s="100"/>
      <c r="T62" s="1"/>
      <c r="U62" s="1"/>
      <c r="V62" s="1"/>
      <c r="W62" s="1"/>
      <c r="X62" s="1"/>
      <c r="Y62" s="1"/>
      <c r="Z62" s="1"/>
    </row>
    <row r="63" spans="1:26" ht="15">
      <c r="A63" s="87"/>
      <c r="B63" s="92"/>
      <c r="C63" s="91"/>
      <c r="D63" s="91"/>
      <c r="E63" s="99"/>
      <c r="F63" s="94"/>
      <c r="G63" s="94"/>
      <c r="H63" s="94"/>
      <c r="I63" s="94"/>
      <c r="J63" s="94"/>
      <c r="K63" s="93"/>
      <c r="L63" s="86"/>
      <c r="M63" s="92"/>
      <c r="N63" s="92"/>
      <c r="O63" s="98"/>
      <c r="P63" s="91"/>
      <c r="Q63" s="90"/>
      <c r="R63" s="85"/>
      <c r="S63" s="97"/>
    </row>
    <row r="64" spans="1:26" ht="15">
      <c r="A64" s="96"/>
      <c r="B64" s="92"/>
      <c r="C64" s="91"/>
      <c r="D64" s="91"/>
      <c r="E64" s="95"/>
      <c r="F64" s="94"/>
      <c r="G64" s="94"/>
      <c r="H64" s="94"/>
      <c r="I64" s="94"/>
      <c r="J64" s="94"/>
      <c r="K64" s="93"/>
      <c r="L64" s="86"/>
      <c r="M64" s="92"/>
      <c r="N64" s="98"/>
      <c r="O64" s="98"/>
      <c r="P64" s="91"/>
      <c r="Q64" s="90"/>
      <c r="R64" s="85"/>
      <c r="S64" s="97"/>
    </row>
    <row r="65" spans="1:22" s="87" customFormat="1" ht="15">
      <c r="A65" s="96"/>
      <c r="B65" s="92"/>
      <c r="C65" s="91"/>
      <c r="D65" s="91"/>
      <c r="E65" s="95"/>
      <c r="F65" s="94"/>
      <c r="G65" s="94"/>
      <c r="H65" s="94"/>
      <c r="I65" s="94"/>
      <c r="J65" s="94"/>
      <c r="K65" s="93"/>
      <c r="L65" s="86"/>
      <c r="M65" s="92"/>
      <c r="N65" s="92"/>
      <c r="O65" s="92"/>
      <c r="P65" s="91"/>
      <c r="Q65" s="90"/>
      <c r="R65" s="89"/>
      <c r="S65" s="88"/>
    </row>
    <row r="66" spans="1:22">
      <c r="A66" s="87"/>
      <c r="B66" s="87"/>
      <c r="C66" s="87"/>
      <c r="D66" s="87"/>
      <c r="E66" s="87"/>
      <c r="F66" s="87"/>
      <c r="G66" s="87"/>
      <c r="H66" s="87"/>
      <c r="I66" s="87"/>
      <c r="J66" s="87"/>
      <c r="K66" s="87"/>
      <c r="L66" s="87"/>
      <c r="M66" s="87"/>
      <c r="N66" s="87"/>
      <c r="O66" s="87"/>
      <c r="P66" s="87"/>
      <c r="Q66" s="87"/>
      <c r="R66" s="87"/>
      <c r="S66" s="87"/>
      <c r="T66" s="87"/>
      <c r="U66" s="87"/>
      <c r="V66" s="87"/>
    </row>
    <row r="68" spans="1:22">
      <c r="A68" s="13"/>
      <c r="C68" s="388"/>
      <c r="D68" s="388"/>
      <c r="E68" s="388"/>
      <c r="F68" s="388"/>
      <c r="K68" s="388"/>
      <c r="L68" s="388"/>
      <c r="Q68" s="388"/>
      <c r="R68" s="388"/>
      <c r="S68" s="388"/>
      <c r="T68" s="388"/>
    </row>
    <row r="69" spans="1:22">
      <c r="A69" s="87"/>
    </row>
    <row r="70" spans="1:22" ht="15">
      <c r="K70" s="86"/>
    </row>
    <row r="72" spans="1:22">
      <c r="C72" s="57"/>
      <c r="D72" s="57"/>
      <c r="E72" s="83"/>
      <c r="K72" s="82"/>
      <c r="R72" s="85"/>
      <c r="S72" s="85"/>
    </row>
    <row r="73" spans="1:22">
      <c r="C73" s="83"/>
      <c r="E73" s="83"/>
      <c r="K73" s="83"/>
      <c r="R73" s="83"/>
      <c r="S73" s="83"/>
    </row>
    <row r="74" spans="1:22">
      <c r="A74" s="84"/>
      <c r="C74" s="57"/>
      <c r="E74" s="83"/>
      <c r="K74" s="82"/>
      <c r="R74" s="83"/>
      <c r="S74" s="85"/>
    </row>
    <row r="75" spans="1:22">
      <c r="A75" s="84"/>
      <c r="C75" s="57"/>
      <c r="E75" s="83"/>
      <c r="K75" s="82"/>
      <c r="R75" s="83"/>
      <c r="S75" s="85"/>
    </row>
    <row r="76" spans="1:22">
      <c r="A76" s="84"/>
      <c r="E76" s="83"/>
      <c r="K76" s="82"/>
    </row>
    <row r="77" spans="1:22">
      <c r="A77" s="84"/>
      <c r="E77" s="83"/>
      <c r="K77" s="82"/>
    </row>
  </sheetData>
  <mergeCells count="14">
    <mergeCell ref="M9:P9"/>
    <mergeCell ref="E43:F43"/>
    <mergeCell ref="K43:L43"/>
    <mergeCell ref="A1:B1"/>
    <mergeCell ref="A2:B2"/>
    <mergeCell ref="A3:B3"/>
    <mergeCell ref="C9:D9"/>
    <mergeCell ref="E9:I9"/>
    <mergeCell ref="K9:L9"/>
    <mergeCell ref="C68:D68"/>
    <mergeCell ref="E68:F68"/>
    <mergeCell ref="K68:L68"/>
    <mergeCell ref="Q68:R68"/>
    <mergeCell ref="S68:T68"/>
  </mergeCells>
  <phoneticPr fontId="16" type="noConversion"/>
  <pageMargins left="0.2" right="0.2" top="0.5" bottom="0.5" header="0.3" footer="0.3"/>
  <pageSetup scale="95" orientation="landscape" horizontalDpi="200" verticalDpi="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4"/>
  <sheetViews>
    <sheetView topLeftCell="A22" workbookViewId="0">
      <selection activeCell="F61" sqref="F61"/>
    </sheetView>
  </sheetViews>
  <sheetFormatPr baseColWidth="10" defaultRowHeight="14" x14ac:dyDescent="0"/>
  <cols>
    <col min="1" max="1" width="17.5" customWidth="1"/>
    <col min="2" max="2" width="12.83203125" customWidth="1"/>
    <col min="3" max="3" width="12.1640625" customWidth="1"/>
    <col min="4" max="4" width="15.83203125" customWidth="1"/>
    <col min="5" max="5" width="24.5" customWidth="1"/>
    <col min="6" max="6" width="38.5" customWidth="1"/>
    <col min="7" max="7" width="35.83203125" customWidth="1"/>
  </cols>
  <sheetData>
    <row r="1" spans="1:7" ht="23">
      <c r="A1" s="304" t="s">
        <v>106</v>
      </c>
      <c r="B1" s="304" t="s">
        <v>108</v>
      </c>
      <c r="C1" s="304" t="s">
        <v>109</v>
      </c>
      <c r="D1" s="309" t="s">
        <v>126</v>
      </c>
      <c r="E1" s="304" t="s">
        <v>115</v>
      </c>
      <c r="F1" s="304" t="s">
        <v>117</v>
      </c>
      <c r="G1" s="304" t="s">
        <v>118</v>
      </c>
    </row>
    <row r="2" spans="1:7">
      <c r="A2" s="125" t="s">
        <v>107</v>
      </c>
      <c r="B2" t="s">
        <v>110</v>
      </c>
      <c r="C2" s="303">
        <v>13</v>
      </c>
      <c r="D2" s="313"/>
      <c r="E2" s="310">
        <f>AVERAGE(LOOKUP(C2,A!A12:A65,A!E12:E65),LOOKUP(C2,A!A12:A65,A!F12:F65),LOOKUP(C2,A!A12:A65,A!G12:G65),LOOKUP(C2,A!A12:A65,A!H12:H65),LOOKUP(C2,A!A12:A65,A!I12:I65))</f>
        <v>0.39</v>
      </c>
      <c r="F2" s="303">
        <f>SUM(E2:E14)+13*0.6096</f>
        <v>12.8828</v>
      </c>
      <c r="G2" s="303">
        <v>13.05</v>
      </c>
    </row>
    <row r="3" spans="1:7">
      <c r="A3" s="125"/>
      <c r="C3" s="185">
        <v>12</v>
      </c>
      <c r="E3" s="311">
        <f>AVERAGE(LOOKUP(C3,A!$A$12:$A$65,A!$E$12:$E$65),LOOKUP(C3,A!$A$12:$A$65,A!$F$12:$F$65),LOOKUP(C3,A!$A$12:$A$65,A!$G$12:$G$65),LOOKUP(C3,A!$A$12:$A$65,A!$H$12:$H$65),LOOKUP(C3,A!$A$12:$A$65,A!$I$12:$I$65))</f>
        <v>0.36599999999999999</v>
      </c>
      <c r="F3" s="185"/>
      <c r="G3" s="185"/>
    </row>
    <row r="4" spans="1:7">
      <c r="A4" s="125"/>
      <c r="C4" s="185">
        <v>11</v>
      </c>
      <c r="E4" s="311">
        <f>AVERAGE(LOOKUP(C4,A!$A$12:$A$65,A!$E$12:$E$65),LOOKUP(C4,A!$A$12:$A$65,A!$F$12:$F$65),LOOKUP(C4,A!$A$12:$A$65,A!$G$12:$G$65),LOOKUP(C4,A!$A$12:$A$65,A!$H$12:$H$65),LOOKUP(C4,A!$A$12:$A$65,A!$I$12:$I$65))</f>
        <v>0.38</v>
      </c>
      <c r="F4" s="185"/>
      <c r="G4" s="185"/>
    </row>
    <row r="5" spans="1:7">
      <c r="A5" s="125"/>
      <c r="C5" s="185">
        <v>10</v>
      </c>
      <c r="E5" s="311">
        <f>AVERAGE(LOOKUP(C5,A!$A$12:$A$65,A!$E$12:$E$65),LOOKUP(C5,A!$A$12:$A$65,A!$F$12:$F$65),LOOKUP(C5,A!$A$12:$A$65,A!$G$12:$G$65),LOOKUP(C5,A!$A$12:$A$65,A!$H$12:$H$65),LOOKUP(C5,A!$A$12:$A$65,A!$I$12:$I$65))</f>
        <v>0.38800000000000007</v>
      </c>
      <c r="F5" s="185"/>
      <c r="G5" s="185"/>
    </row>
    <row r="6" spans="1:7">
      <c r="A6" s="125"/>
      <c r="C6" s="185">
        <v>9</v>
      </c>
      <c r="E6" s="311">
        <f>AVERAGE(LOOKUP(C6,A!$A$12:$A$65,A!$E$12:$E$65),LOOKUP(C6,A!$A$12:$A$65,A!$F$12:$F$65),LOOKUP(C6,A!$A$12:$A$65,A!$G$12:$G$65),LOOKUP(C6,A!$A$12:$A$65,A!$H$12:$H$65),LOOKUP(C6,A!$A$12:$A$65,A!$I$12:$I$65))</f>
        <v>0.39</v>
      </c>
      <c r="F6" s="185"/>
      <c r="G6" s="185"/>
    </row>
    <row r="7" spans="1:7">
      <c r="A7" s="125"/>
      <c r="C7" s="185">
        <v>8</v>
      </c>
      <c r="E7" s="311">
        <f>AVERAGE(LOOKUP(C7,A!$A$12:$A$65,A!$E$12:$E$65),LOOKUP(C7,A!$A$12:$A$65,A!$F$12:$F$65),LOOKUP(C7,A!$A$12:$A$65,A!$G$12:$G$65),LOOKUP(C7,A!$A$12:$A$65,A!$H$12:$H$65),LOOKUP(C7,A!$A$12:$A$65,A!$I$12:$I$65))</f>
        <v>0.374</v>
      </c>
      <c r="F7" s="185"/>
      <c r="G7" s="185"/>
    </row>
    <row r="8" spans="1:7">
      <c r="A8" s="125"/>
      <c r="C8" s="185">
        <v>7</v>
      </c>
      <c r="E8" s="311">
        <f>AVERAGE(LOOKUP(C8,A!$A$12:$A$65,A!$E$12:$E$65),LOOKUP(C8,A!$A$12:$A$65,A!$F$12:$F$65),LOOKUP(C8,A!$A$12:$A$65,A!$G$12:$G$65),LOOKUP(C8,A!$A$12:$A$65,A!$H$12:$H$65),LOOKUP(C8,A!$A$12:$A$65,A!$I$12:$I$65))</f>
        <v>0.38</v>
      </c>
      <c r="F8" s="185"/>
      <c r="G8" s="185"/>
    </row>
    <row r="9" spans="1:7">
      <c r="A9" s="125"/>
      <c r="C9" s="185">
        <v>6</v>
      </c>
      <c r="E9" s="311">
        <f>AVERAGE(LOOKUP(C9,A!$A$12:$A$65,A!$E$12:$E$65),LOOKUP(C9,A!$A$12:$A$65,A!$F$12:$F$65),LOOKUP(C9,A!$A$12:$A$65,A!$G$12:$G$65),LOOKUP(C9,A!$A$12:$A$65,A!$H$12:$H$65),LOOKUP(C9,A!$A$12:$A$65,A!$I$12:$I$65))</f>
        <v>0.37799999999999995</v>
      </c>
      <c r="F9" s="185"/>
      <c r="G9" s="185"/>
    </row>
    <row r="10" spans="1:7">
      <c r="A10" s="125"/>
      <c r="C10" s="185">
        <v>5</v>
      </c>
      <c r="E10" s="311">
        <f>AVERAGE(LOOKUP(C10,A!$A$12:$A$65,A!$E$12:$E$65),LOOKUP(C10,A!$A$12:$A$65,A!$F$12:$F$65),LOOKUP(C10,A!$A$12:$A$65,A!$G$12:$G$65),LOOKUP(C10,A!$A$12:$A$65,A!$H$12:$H$65),LOOKUP(C10,A!$A$12:$A$65,A!$I$12:$I$65))</f>
        <v>0.38600000000000001</v>
      </c>
      <c r="F10" s="185"/>
      <c r="G10" s="185"/>
    </row>
    <row r="11" spans="1:7">
      <c r="A11" s="125"/>
      <c r="C11" s="185">
        <v>4</v>
      </c>
      <c r="E11" s="311">
        <f>AVERAGE(LOOKUP(C11,A!$A$12:$A$65,A!$E$12:$E$65),LOOKUP(C11,A!$A$12:$A$65,A!$F$12:$F$65),LOOKUP(C11,A!$A$12:$A$65,A!$G$12:$G$65),LOOKUP(C11,A!$A$12:$A$65,A!$H$12:$H$65),LOOKUP(C11,A!$A$12:$A$65,A!$I$12:$I$65))</f>
        <v>0.38200000000000001</v>
      </c>
      <c r="F11" s="185"/>
      <c r="G11" s="185"/>
    </row>
    <row r="12" spans="1:7">
      <c r="A12" s="125"/>
      <c r="C12" s="185">
        <v>3</v>
      </c>
      <c r="E12" s="311">
        <f>AVERAGE(LOOKUP(C12,A!$A$12:$A$65,A!$E$12:$E$65),LOOKUP(C12,A!$A$12:$A$65,A!$F$12:$F$65),LOOKUP(C12,A!$A$12:$A$65,A!$G$12:$G$65),LOOKUP(C12,A!$A$12:$A$65,A!$H$12:$H$65),LOOKUP(C12,A!$A$12:$A$65,A!$I$12:$I$65))</f>
        <v>0.38</v>
      </c>
      <c r="F12" s="185"/>
      <c r="G12" s="185"/>
    </row>
    <row r="13" spans="1:7">
      <c r="A13" s="125"/>
      <c r="C13" s="185">
        <v>2</v>
      </c>
      <c r="E13" s="311">
        <f>AVERAGE(LOOKUP(C13,A!$A$12:$A$65,A!$E$12:$E$65),LOOKUP(C13,A!$A$12:$A$65,A!$F$12:$F$65),LOOKUP(C13,A!$A$12:$A$65,A!$G$12:$G$65),LOOKUP(C13,A!$A$12:$A$65,A!$H$12:$H$65),LOOKUP(C13,A!$A$12:$A$65,A!$I$12:$I$65))</f>
        <v>0.38199999999999995</v>
      </c>
      <c r="F13" s="185"/>
      <c r="G13" s="185"/>
    </row>
    <row r="14" spans="1:7">
      <c r="A14" s="125"/>
      <c r="B14" t="s">
        <v>111</v>
      </c>
      <c r="C14" s="185">
        <v>1</v>
      </c>
      <c r="E14" s="311">
        <f>AVERAGE(LOOKUP(C14,A!$A$12:$A$65,A!$E$12:$E$65),LOOKUP(C14,A!$A$12:$A$65,A!$F$12:$F$65),LOOKUP(C14,A!$A$12:$A$65,A!$G$12:$G$65),LOOKUP(C14,A!$A$12:$A$65,A!$H$12:$H$65),LOOKUP(C14,A!$A$12:$A$65,A!$I$12:$I$65))</f>
        <v>0.38199999999999995</v>
      </c>
      <c r="F14" s="185"/>
      <c r="G14" s="185"/>
    </row>
    <row r="15" spans="1:7">
      <c r="A15" s="302" t="s">
        <v>112</v>
      </c>
      <c r="B15" s="14" t="s">
        <v>110</v>
      </c>
      <c r="C15" s="303">
        <v>27</v>
      </c>
      <c r="D15" s="14"/>
      <c r="E15" s="310">
        <f>AVERAGE(LOOKUP(C15,A!$A$12:$A$65,A!$E$12:$E$65),LOOKUP(C15,A!$A$12:$A$65,A!$F$12:$F$65),LOOKUP(C15,A!$A$12:$A$65,A!$G$12:$G$65),LOOKUP(C15,A!$A$12:$A$65,A!$H$12:$H$65),LOOKUP(C15,A!$A$12:$A$65,A!$I$12:$I$65))</f>
        <v>0.38</v>
      </c>
      <c r="F15" s="303">
        <f>SUM(E15:E27)+13*0.6096</f>
        <v>12.908799999999999</v>
      </c>
      <c r="G15" s="303">
        <v>13.12</v>
      </c>
    </row>
    <row r="16" spans="1:7">
      <c r="A16" s="125"/>
      <c r="C16" s="185">
        <v>26</v>
      </c>
      <c r="E16" s="311">
        <f>AVERAGE(LOOKUP(C16,A!$A$12:$A$65,A!$E$12:$E$65),LOOKUP(C16,A!$A$12:$A$65,A!$F$12:$F$65),LOOKUP(C16,A!$A$12:$A$65,A!$G$12:$G$65),LOOKUP(C16,A!$A$12:$A$65,A!$H$12:$H$65),LOOKUP(C16,A!$A$12:$A$65,A!$I$12:$I$65))</f>
        <v>0.39</v>
      </c>
      <c r="F16" s="185"/>
      <c r="G16" s="185"/>
    </row>
    <row r="17" spans="1:7">
      <c r="A17" s="125"/>
      <c r="C17" s="185">
        <v>25</v>
      </c>
      <c r="E17" s="311">
        <f>AVERAGE(LOOKUP(C17,A!$A$12:$A$65,A!$E$12:$E$65),LOOKUP(C17,A!$A$12:$A$65,A!$F$12:$F$65),LOOKUP(C17,A!$A$12:$A$65,A!$G$12:$G$65),LOOKUP(C17,A!$A$12:$A$65,A!$H$12:$H$65),LOOKUP(C17,A!$A$12:$A$65,A!$I$12:$I$65))</f>
        <v>0.38600000000000001</v>
      </c>
      <c r="F17" s="185"/>
      <c r="G17" s="185"/>
    </row>
    <row r="18" spans="1:7">
      <c r="A18" s="125"/>
      <c r="C18" s="185">
        <v>24</v>
      </c>
      <c r="E18" s="311">
        <f>AVERAGE(LOOKUP(C18,A!$A$12:$A$65,A!$E$12:$E$65),LOOKUP(C18,A!$A$12:$A$65,A!$F$12:$F$65),LOOKUP(C18,A!$A$12:$A$65,A!$G$12:$G$65),LOOKUP(C18,A!$A$12:$A$65,A!$H$12:$H$65),LOOKUP(C18,A!$A$12:$A$65,A!$I$12:$I$65))</f>
        <v>0.39</v>
      </c>
      <c r="F18" s="185"/>
      <c r="G18" s="185"/>
    </row>
    <row r="19" spans="1:7">
      <c r="A19" s="125"/>
      <c r="C19" s="185">
        <v>23</v>
      </c>
      <c r="E19" s="311">
        <f>AVERAGE(LOOKUP(C19,A!$A$12:$A$65,A!$E$12:$E$65),LOOKUP(C19,A!$A$12:$A$65,A!$F$12:$F$65),LOOKUP(C19,A!$A$12:$A$65,A!$G$12:$G$65),LOOKUP(C19,A!$A$12:$A$65,A!$H$12:$H$65),LOOKUP(C19,A!$A$12:$A$65,A!$I$12:$I$65))</f>
        <v>0.38</v>
      </c>
      <c r="F19" s="185"/>
      <c r="G19" s="185"/>
    </row>
    <row r="20" spans="1:7">
      <c r="A20" s="125"/>
      <c r="C20" s="185">
        <v>22</v>
      </c>
      <c r="E20" s="311">
        <f>AVERAGE(LOOKUP(C20,A!$A$12:$A$65,A!$E$12:$E$65),LOOKUP(C20,A!$A$12:$A$65,A!$F$12:$F$65),LOOKUP(C20,A!$A$12:$A$65,A!$G$12:$G$65),LOOKUP(C20,A!$A$12:$A$65,A!$H$12:$H$65),LOOKUP(C20,A!$A$12:$A$65,A!$I$12:$I$65))</f>
        <v>0.376</v>
      </c>
      <c r="F20" s="185"/>
      <c r="G20" s="185"/>
    </row>
    <row r="21" spans="1:7">
      <c r="A21" s="125"/>
      <c r="C21" s="185">
        <v>21</v>
      </c>
      <c r="E21" s="311">
        <f>AVERAGE(LOOKUP(C21,A!$A$12:$A$65,A!$E$12:$E$65),LOOKUP(C21,A!$A$12:$A$65,A!$F$12:$F$65),LOOKUP(C21,A!$A$12:$A$65,A!$G$12:$G$65),LOOKUP(C21,A!$A$12:$A$65,A!$H$12:$H$65),LOOKUP(C21,A!$A$12:$A$65,A!$I$12:$I$65))</f>
        <v>0.37</v>
      </c>
      <c r="F21" s="185"/>
      <c r="G21" s="185"/>
    </row>
    <row r="22" spans="1:7">
      <c r="A22" s="125"/>
      <c r="C22" s="185">
        <v>20</v>
      </c>
      <c r="E22" s="311">
        <f>AVERAGE(LOOKUP(C22,A!$A$12:$A$65,A!$E$12:$E$65),LOOKUP(C22,A!$A$12:$A$65,A!$F$12:$F$65),LOOKUP(C22,A!$A$12:$A$65,A!$G$12:$G$65),LOOKUP(C22,A!$A$12:$A$65,A!$H$12:$H$65),LOOKUP(C22,A!$A$12:$A$65,A!$I$12:$I$65))</f>
        <v>0.39</v>
      </c>
      <c r="F22" s="185"/>
      <c r="G22" s="185"/>
    </row>
    <row r="23" spans="1:7">
      <c r="A23" s="125"/>
      <c r="C23" s="185">
        <v>19</v>
      </c>
      <c r="E23" s="311">
        <f>AVERAGE(LOOKUP(C23,A!$A$12:$A$65,A!$E$12:$E$65),LOOKUP(C23,A!$A$12:$A$65,A!$F$12:$F$65),LOOKUP(C23,A!$A$12:$A$65,A!$G$12:$G$65),LOOKUP(C23,A!$A$12:$A$65,A!$H$12:$H$65),LOOKUP(C23,A!$A$12:$A$65,A!$I$12:$I$65))</f>
        <v>0.372</v>
      </c>
      <c r="F23" s="185"/>
      <c r="G23" s="185"/>
    </row>
    <row r="24" spans="1:7">
      <c r="A24" s="125"/>
      <c r="C24" s="185">
        <v>18</v>
      </c>
      <c r="E24" s="311">
        <f>AVERAGE(LOOKUP(C24,A!$A$12:$A$65,A!$E$12:$E$65),LOOKUP(C24,A!$A$12:$A$65,A!$F$12:$F$65),LOOKUP(C24,A!$A$12:$A$65,A!$G$12:$G$65),LOOKUP(C24,A!$A$12:$A$65,A!$H$12:$H$65),LOOKUP(C24,A!$A$12:$A$65,A!$I$12:$I$65))</f>
        <v>0.38</v>
      </c>
      <c r="F24" s="185"/>
      <c r="G24" s="185"/>
    </row>
    <row r="25" spans="1:7">
      <c r="A25" s="125"/>
      <c r="C25" s="185">
        <v>17</v>
      </c>
      <c r="E25" s="311">
        <f>AVERAGE(LOOKUP(C25,A!$A$12:$A$65,A!$E$12:$E$65),LOOKUP(C25,A!$A$12:$A$65,A!$F$12:$F$65),LOOKUP(C25,A!$A$12:$A$65,A!$G$12:$G$65),LOOKUP(C25,A!$A$12:$A$65,A!$H$12:$H$65),LOOKUP(C25,A!$A$12:$A$65,A!$I$12:$I$65))</f>
        <v>0.39</v>
      </c>
      <c r="F25" s="185"/>
      <c r="G25" s="185"/>
    </row>
    <row r="26" spans="1:7">
      <c r="A26" s="125"/>
      <c r="C26" s="185">
        <v>15</v>
      </c>
      <c r="E26" s="311">
        <f>AVERAGE(LOOKUP(C26,A!$A$12:$A$65,A!$E$12:$E$65),LOOKUP(C26,A!$A$12:$A$65,A!$F$12:$F$65),LOOKUP(C26,A!$A$12:$A$65,A!$G$12:$G$65),LOOKUP(C26,A!$A$12:$A$65,A!$H$12:$H$65),LOOKUP(C26,A!$A$12:$A$65,A!$I$12:$I$65))</f>
        <v>0.39</v>
      </c>
      <c r="F26" s="185"/>
      <c r="G26" s="185"/>
    </row>
    <row r="27" spans="1:7">
      <c r="A27" s="125"/>
      <c r="B27" t="s">
        <v>111</v>
      </c>
      <c r="C27" s="185">
        <v>14</v>
      </c>
      <c r="E27" s="311">
        <f>AVERAGE(LOOKUP(C27,A!$A$12:$A$65,A!$E$12:$E$65),LOOKUP(C27,A!$A$12:$A$65,A!$F$12:$F$65),LOOKUP(C27,A!$A$12:$A$65,A!$G$12:$G$65),LOOKUP(C27,A!$A$12:$A$65,A!$H$12:$H$65),LOOKUP(C27,A!$A$12:$A$65,A!$I$12:$I$65))</f>
        <v>0.39</v>
      </c>
      <c r="F27" s="185"/>
      <c r="G27" s="185"/>
    </row>
    <row r="28" spans="1:7">
      <c r="A28" s="302" t="s">
        <v>113</v>
      </c>
      <c r="B28" s="14" t="s">
        <v>110</v>
      </c>
      <c r="C28" s="303">
        <v>41</v>
      </c>
      <c r="D28" s="308"/>
      <c r="E28" s="310">
        <f>AVERAGE(LOOKUP(C28,A!$A$12:$A$65,A!$E$12:$E$65),LOOKUP(C28,A!$A$12:$A$65,A!$F$12:$F$65),LOOKUP(C28,A!$A$12:$A$65,A!$G$12:$G$65),LOOKUP(C28,A!$A$12:$A$65,A!$H$12:$H$65),LOOKUP(C28,A!$A$12:$A$65,A!$I$12:$I$65))</f>
        <v>0.39</v>
      </c>
      <c r="F28" s="303">
        <f>SUM(E28:E40)+13*0.6096</f>
        <v>12.922800000000001</v>
      </c>
      <c r="G28" s="303">
        <v>13.05</v>
      </c>
    </row>
    <row r="29" spans="1:7">
      <c r="A29" s="125"/>
      <c r="C29" s="185">
        <v>40</v>
      </c>
      <c r="E29" s="311">
        <f>AVERAGE(LOOKUP(C29,A!$A$12:$A$65,A!$E$12:$E$65),LOOKUP(C29,A!$A$12:$A$65,A!$F$12:$F$65),LOOKUP(C29,A!$A$12:$A$65,A!$G$12:$G$65),LOOKUP(C29,A!$A$12:$A$65,A!$H$12:$H$65),LOOKUP(C29,A!$A$12:$A$65,A!$I$12:$I$65))</f>
        <v>0.38800000000000001</v>
      </c>
      <c r="F29" s="185"/>
      <c r="G29" s="185"/>
    </row>
    <row r="30" spans="1:7">
      <c r="A30" s="125"/>
      <c r="C30" s="185">
        <v>39</v>
      </c>
      <c r="E30" s="311">
        <f>AVERAGE(LOOKUP(C30,A!$A$12:$A$65,A!$E$12:$E$65),LOOKUP(C30,A!$A$12:$A$65,A!$F$12:$F$65),LOOKUP(C30,A!$A$12:$A$65,A!$G$12:$G$65),LOOKUP(C30,A!$A$12:$A$65,A!$H$12:$H$65),LOOKUP(C30,A!$A$12:$A$65,A!$I$12:$I$65))</f>
        <v>0.38800000000000007</v>
      </c>
      <c r="F30" s="185"/>
      <c r="G30" s="185"/>
    </row>
    <row r="31" spans="1:7">
      <c r="A31" s="125"/>
      <c r="C31" s="185">
        <v>37</v>
      </c>
      <c r="E31" s="311">
        <f>AVERAGE(LOOKUP(C31,A!$A$12:$A$65,A!$E$12:$E$65),LOOKUP(C31,A!$A$12:$A$65,A!$F$12:$F$65),LOOKUP(C31,A!$A$12:$A$65,A!$G$12:$G$65),LOOKUP(C31,A!$A$12:$A$65,A!$H$12:$H$65),LOOKUP(C31,A!$A$12:$A$65,A!$I$12:$I$65))</f>
        <v>0.39</v>
      </c>
      <c r="F31" s="185"/>
      <c r="G31" s="185"/>
    </row>
    <row r="32" spans="1:7">
      <c r="A32" s="125"/>
      <c r="C32" s="185">
        <v>36</v>
      </c>
      <c r="E32" s="311">
        <f>AVERAGE(LOOKUP(C32,A!$A$12:$A$65,A!$E$12:$E$65),LOOKUP(C32,A!$A$12:$A$65,A!$F$12:$F$65),LOOKUP(C32,A!$A$12:$A$65,A!$G$12:$G$65),LOOKUP(C32,A!$A$12:$A$65,A!$H$12:$H$65),LOOKUP(C32,A!$A$12:$A$65,A!$I$12:$I$65))</f>
        <v>0.38</v>
      </c>
      <c r="F32" s="185"/>
      <c r="G32" s="185"/>
    </row>
    <row r="33" spans="1:7">
      <c r="A33" s="125"/>
      <c r="C33" s="185">
        <v>35</v>
      </c>
      <c r="E33" s="311">
        <f>AVERAGE(LOOKUP(C33,A!$A$12:$A$65,A!$E$12:$E$65),LOOKUP(C33,A!$A$12:$A$65,A!$F$12:$F$65),LOOKUP(C33,A!$A$12:$A$65,A!$G$12:$G$65),LOOKUP(C33,A!$A$12:$A$65,A!$H$12:$H$65),LOOKUP(C33,A!$A$12:$A$65,A!$I$12:$I$65))</f>
        <v>0.38400000000000001</v>
      </c>
      <c r="F33" s="185"/>
      <c r="G33" s="185"/>
    </row>
    <row r="34" spans="1:7">
      <c r="A34" s="125"/>
      <c r="C34" s="185">
        <v>34</v>
      </c>
      <c r="E34" s="311">
        <f>AVERAGE(LOOKUP(C34,A!$A$12:$A$65,A!$E$12:$E$65),LOOKUP(C34,A!$A$12:$A$65,A!$F$12:$F$65),LOOKUP(C34,A!$A$12:$A$65,A!$G$12:$G$65),LOOKUP(C34,A!$A$12:$A$65,A!$H$12:$H$65),LOOKUP(C34,A!$A$12:$A$65,A!$I$12:$I$65))</f>
        <v>0.39</v>
      </c>
      <c r="F34" s="185"/>
      <c r="G34" s="185"/>
    </row>
    <row r="35" spans="1:7">
      <c r="A35" s="125"/>
      <c r="C35" s="185">
        <v>33</v>
      </c>
      <c r="E35" s="311">
        <f>AVERAGE(LOOKUP(C35,A!$A$12:$A$65,A!$E$12:$E$65),LOOKUP(C35,A!$A$12:$A$65,A!$F$12:$F$65),LOOKUP(C35,A!$A$12:$A$65,A!$G$12:$G$65),LOOKUP(C35,A!$A$12:$A$65,A!$H$12:$H$65),LOOKUP(C35,A!$A$12:$A$65,A!$I$12:$I$65))</f>
        <v>0.38200000000000001</v>
      </c>
      <c r="F35" s="185"/>
      <c r="G35" s="185"/>
    </row>
    <row r="36" spans="1:7">
      <c r="A36" s="125"/>
      <c r="C36" s="185">
        <v>32</v>
      </c>
      <c r="E36" s="311">
        <f>AVERAGE(LOOKUP(C36,A!$A$12:$A$65,A!$E$12:$E$65),LOOKUP(C36,A!$A$12:$A$65,A!$F$12:$F$65),LOOKUP(C36,A!$A$12:$A$65,A!$G$12:$G$65),LOOKUP(C36,A!$A$12:$A$65,A!$H$12:$H$65),LOOKUP(C36,A!$A$12:$A$65,A!$I$12:$I$65))</f>
        <v>0.37799999999999995</v>
      </c>
      <c r="F36" s="185"/>
      <c r="G36" s="185"/>
    </row>
    <row r="37" spans="1:7">
      <c r="A37" s="125"/>
      <c r="C37" s="185">
        <v>31</v>
      </c>
      <c r="E37" s="311">
        <f>AVERAGE(LOOKUP(C37,A!$A$12:$A$65,A!$E$12:$E$65),LOOKUP(C37,A!$A$12:$A$65,A!$F$12:$F$65),LOOKUP(C37,A!$A$12:$A$65,A!$G$12:$G$65),LOOKUP(C37,A!$A$12:$A$65,A!$H$12:$H$65),LOOKUP(C37,A!$A$12:$A$65,A!$I$12:$I$65))</f>
        <v>0.38</v>
      </c>
      <c r="F37" s="185"/>
      <c r="G37" s="185"/>
    </row>
    <row r="38" spans="1:7">
      <c r="A38" s="125"/>
      <c r="C38" s="185">
        <v>30</v>
      </c>
      <c r="E38" s="311">
        <f>AVERAGE(LOOKUP(C38,A!$A$12:$A$65,A!$E$12:$E$65),LOOKUP(C38,A!$A$12:$A$65,A!$F$12:$F$65),LOOKUP(C38,A!$A$12:$A$65,A!$G$12:$G$65),LOOKUP(C38,A!$A$12:$A$65,A!$H$12:$H$65),LOOKUP(C38,A!$A$12:$A$65,A!$I$12:$I$65))</f>
        <v>0.38</v>
      </c>
      <c r="F38" s="185"/>
      <c r="G38" s="185"/>
    </row>
    <row r="39" spans="1:7">
      <c r="A39" s="125"/>
      <c r="C39" s="185">
        <v>29</v>
      </c>
      <c r="E39" s="311">
        <f>AVERAGE(LOOKUP(C39,A!$A$12:$A$65,A!$E$12:$E$65),LOOKUP(C39,A!$A$12:$A$65,A!$F$12:$F$65),LOOKUP(C39,A!$A$12:$A$65,A!$G$12:$G$65),LOOKUP(C39,A!$A$12:$A$65,A!$H$12:$H$65),LOOKUP(C39,A!$A$12:$A$65,A!$I$12:$I$65))</f>
        <v>0.38199999999999995</v>
      </c>
      <c r="F39" s="185"/>
      <c r="G39" s="185"/>
    </row>
    <row r="40" spans="1:7">
      <c r="A40" s="125"/>
      <c r="B40" t="s">
        <v>111</v>
      </c>
      <c r="C40" s="185">
        <v>28</v>
      </c>
      <c r="E40" s="311">
        <f>AVERAGE(LOOKUP(C40,A!$A$12:$A$65,A!$E$12:$E$65),LOOKUP(C40,A!$A$12:$A$65,A!$F$12:$F$65),LOOKUP(C40,A!$A$12:$A$65,A!$G$12:$G$65),LOOKUP(C40,A!$A$12:$A$65,A!$H$12:$H$65),LOOKUP(C40,A!$A$12:$A$65,A!$I$12:$I$65))</f>
        <v>0.38600000000000001</v>
      </c>
      <c r="F40" s="185"/>
      <c r="G40" s="185"/>
    </row>
    <row r="41" spans="1:7">
      <c r="A41" s="302" t="s">
        <v>114</v>
      </c>
      <c r="B41" s="14" t="s">
        <v>110</v>
      </c>
      <c r="C41" s="303">
        <v>42</v>
      </c>
      <c r="D41" s="308"/>
      <c r="E41" s="310">
        <f>AVERAGE(LOOKUP(C41,A!$A$12:$A$65,A!$E$12:$E$65),LOOKUP(C41,A!$A$12:$A$65,A!$F$12:$F$65),LOOKUP(C41,A!$A$12:$A$65,A!$G$12:$G$65),LOOKUP(C41,A!$A$12:$A$65,A!$H$12:$H$65),LOOKUP(C41,A!$A$12:$A$65,A!$I$12:$I$65))</f>
        <v>0.38</v>
      </c>
      <c r="F41" s="303">
        <f>SUM(E41:E53)+13*0.6096</f>
        <v>12.9368</v>
      </c>
      <c r="G41" s="303">
        <v>13.14</v>
      </c>
    </row>
    <row r="42" spans="1:7">
      <c r="A42" s="125"/>
      <c r="C42" s="185">
        <v>53</v>
      </c>
      <c r="E42" s="311">
        <f>AVERAGE(LOOKUP(C42,A!$A$12:$A$65,A!$E$12:$E$65),LOOKUP(C42,A!$A$12:$A$65,A!$F$12:$F$65),LOOKUP(C42,A!$A$12:$A$65,A!$G$12:$G$65),LOOKUP(C42,A!$A$12:$A$65,A!$H$12:$H$65),LOOKUP(C42,A!$A$12:$A$65,A!$I$12:$I$65))</f>
        <v>0.38800000000000007</v>
      </c>
      <c r="F42" s="185"/>
      <c r="G42" s="185"/>
    </row>
    <row r="43" spans="1:7">
      <c r="A43" s="125"/>
      <c r="C43" s="185">
        <v>52</v>
      </c>
      <c r="E43" s="311">
        <f>AVERAGE(LOOKUP(C43,A!$A$12:$A$65,A!$E$12:$E$65),LOOKUP(C43,A!$A$12:$A$65,A!$F$12:$F$65),LOOKUP(C43,A!$A$12:$A$65,A!$G$12:$G$65),LOOKUP(C43,A!$A$12:$A$65,A!$H$12:$H$65),LOOKUP(C43,A!$A$12:$A$65,A!$I$12:$I$65))</f>
        <v>0.38400000000000001</v>
      </c>
      <c r="F43" s="185"/>
      <c r="G43" s="185"/>
    </row>
    <row r="44" spans="1:7">
      <c r="A44" s="125"/>
      <c r="C44" s="185">
        <v>51</v>
      </c>
      <c r="E44" s="311">
        <f>AVERAGE(LOOKUP(C44,A!$A$12:$A$65,A!$E$12:$E$65),LOOKUP(C44,A!$A$12:$A$65,A!$F$12:$F$65),LOOKUP(C44,A!$A$12:$A$65,A!$G$12:$G$65),LOOKUP(C44,A!$A$12:$A$65,A!$H$12:$H$65),LOOKUP(C44,A!$A$12:$A$65,A!$I$12:$I$65))</f>
        <v>0.38</v>
      </c>
      <c r="F44" s="185"/>
      <c r="G44" s="185"/>
    </row>
    <row r="45" spans="1:7">
      <c r="A45" s="125"/>
      <c r="C45" s="185">
        <v>50</v>
      </c>
      <c r="E45" s="311">
        <f>AVERAGE(LOOKUP(C45,A!$A$12:$A$65,A!$E$12:$E$65),LOOKUP(C45,A!$A$12:$A$65,A!$F$12:$F$65),LOOKUP(C45,A!$A$12:$A$65,A!$G$12:$G$65),LOOKUP(C45,A!$A$12:$A$65,A!$H$12:$H$65),LOOKUP(C45,A!$A$12:$A$65,A!$I$12:$I$65))</f>
        <v>0.38</v>
      </c>
      <c r="F45" s="185"/>
      <c r="G45" s="185"/>
    </row>
    <row r="46" spans="1:7">
      <c r="A46" s="125"/>
      <c r="C46" s="185">
        <v>49</v>
      </c>
      <c r="E46" s="311">
        <f>AVERAGE(LOOKUP(C46,A!$A$12:$A$65,A!$E$12:$E$65),LOOKUP(C46,A!$A$12:$A$65,A!$F$12:$F$65),LOOKUP(C46,A!$A$12:$A$65,A!$G$12:$G$65),LOOKUP(C46,A!$A$12:$A$65,A!$H$12:$H$65),LOOKUP(C46,A!$A$12:$A$65,A!$I$12:$I$65))</f>
        <v>0.39</v>
      </c>
      <c r="F46" s="185"/>
      <c r="G46" s="185"/>
    </row>
    <row r="47" spans="1:7">
      <c r="A47" s="125"/>
      <c r="C47" s="185">
        <v>48</v>
      </c>
      <c r="E47" s="311">
        <f>AVERAGE(LOOKUP(C47,A!$A$12:$A$65,A!$E$12:$E$65),LOOKUP(C47,A!$A$12:$A$65,A!$F$12:$F$65),LOOKUP(C47,A!$A$12:$A$65,A!$G$12:$G$65),LOOKUP(C47,A!$A$12:$A$65,A!$H$12:$H$65),LOOKUP(C47,A!$A$12:$A$65,A!$I$12:$I$65))</f>
        <v>0.38800000000000007</v>
      </c>
      <c r="F47" s="185"/>
      <c r="G47" s="185"/>
    </row>
    <row r="48" spans="1:7">
      <c r="A48" s="125"/>
      <c r="C48" s="185">
        <v>47</v>
      </c>
      <c r="E48" s="311">
        <f>AVERAGE(LOOKUP(C48,A!$A$12:$A$65,A!$E$12:$E$65),LOOKUP(C48,A!$A$12:$A$65,A!$F$12:$F$65),LOOKUP(C48,A!$A$12:$A$65,A!$G$12:$G$65),LOOKUP(C48,A!$A$12:$A$65,A!$H$12:$H$65),LOOKUP(C48,A!$A$12:$A$65,A!$I$12:$I$65))</f>
        <v>0.39</v>
      </c>
      <c r="F48" s="185"/>
      <c r="G48" s="185"/>
    </row>
    <row r="49" spans="1:7">
      <c r="A49" s="125"/>
      <c r="C49" s="185">
        <v>46</v>
      </c>
      <c r="E49" s="311">
        <f>AVERAGE(LOOKUP(C49,A!$A$12:$A$65,A!$E$12:$E$65),LOOKUP(C49,A!$A$12:$A$65,A!$F$12:$F$65),LOOKUP(C49,A!$A$12:$A$65,A!$G$12:$G$65),LOOKUP(C49,A!$A$12:$A$65,A!$H$12:$H$65),LOOKUP(C49,A!$A$12:$A$65,A!$I$12:$I$65))</f>
        <v>0.38800000000000007</v>
      </c>
      <c r="F49" s="185"/>
      <c r="G49" s="185"/>
    </row>
    <row r="50" spans="1:7">
      <c r="A50" s="125"/>
      <c r="C50" s="185">
        <v>45</v>
      </c>
      <c r="E50" s="311">
        <f>AVERAGE(LOOKUP(C50,A!$A$12:$A$65,A!$E$12:$E$65),LOOKUP(C50,A!$A$12:$A$65,A!$F$12:$F$65),LOOKUP(C50,A!$A$12:$A$65,A!$G$12:$G$65),LOOKUP(C50,A!$A$12:$A$65,A!$H$12:$H$65),LOOKUP(C50,A!$A$12:$A$65,A!$I$12:$I$65))</f>
        <v>0.38400000000000001</v>
      </c>
      <c r="F50" s="185"/>
      <c r="G50" s="185"/>
    </row>
    <row r="51" spans="1:7">
      <c r="A51" s="125"/>
      <c r="C51" s="185">
        <v>44</v>
      </c>
      <c r="E51" s="311">
        <f>AVERAGE(LOOKUP(C51,A!$A$12:$A$65,A!$E$12:$E$65),LOOKUP(C51,A!$A$12:$A$65,A!$F$12:$F$65),LOOKUP(C51,A!$A$12:$A$65,A!$G$12:$G$65),LOOKUP(C51,A!$A$12:$A$65,A!$H$12:$H$65),LOOKUP(C51,A!$A$12:$A$65,A!$I$12:$I$65))</f>
        <v>0.39400000000000002</v>
      </c>
      <c r="F51" s="185"/>
      <c r="G51" s="185"/>
    </row>
    <row r="52" spans="1:7">
      <c r="A52" s="125"/>
      <c r="C52" s="185">
        <v>43</v>
      </c>
      <c r="E52" s="311">
        <f>AVERAGE(LOOKUP(C52,A!$A$12:$A$65,A!$E$12:$E$65),LOOKUP(C52,A!$A$12:$A$65,A!$F$12:$F$65),LOOKUP(C52,A!$A$12:$A$65,A!$G$12:$G$65),LOOKUP(C52,A!$A$12:$A$65,A!$H$12:$H$65),LOOKUP(C52,A!$A$12:$A$65,A!$I$12:$I$65))</f>
        <v>0.38600000000000001</v>
      </c>
      <c r="F52" s="185"/>
      <c r="G52" s="185"/>
    </row>
    <row r="53" spans="1:7">
      <c r="A53" s="140"/>
      <c r="B53" s="103" t="s">
        <v>111</v>
      </c>
      <c r="C53" s="253">
        <v>54</v>
      </c>
      <c r="D53" s="103" t="s">
        <v>213</v>
      </c>
      <c r="E53" s="312">
        <f>AVERAGE(LOOKUP(C53,A!$A$12:$A$65,A!$E$12:$E$65),LOOKUP(C53,A!$A$12:$A$65,A!$F$12:$F$65),LOOKUP(C53,A!$A$12:$A$65,A!$G$12:$G$65),LOOKUP(C53,A!$A$12:$A$65,A!$H$12:$H$65),LOOKUP(C53,A!$A$12:$A$65,A!$I$12:$I$65))</f>
        <v>0.38</v>
      </c>
      <c r="F53" s="253"/>
      <c r="G53" s="253"/>
    </row>
    <row r="58" spans="1:7">
      <c r="C58" t="s">
        <v>110</v>
      </c>
    </row>
    <row r="59" spans="1:7">
      <c r="A59" t="s">
        <v>126</v>
      </c>
      <c r="F59" t="s">
        <v>269</v>
      </c>
    </row>
    <row r="60" spans="1:7">
      <c r="F60" t="s">
        <v>268</v>
      </c>
    </row>
    <row r="62" spans="1:7">
      <c r="C62" s="308"/>
      <c r="D62" s="302"/>
    </row>
    <row r="63" spans="1:7">
      <c r="C63" s="322"/>
      <c r="D63" s="125"/>
    </row>
    <row r="64" spans="1:7">
      <c r="C64" s="322"/>
      <c r="D64" s="125"/>
    </row>
    <row r="65" spans="3:4">
      <c r="C65" s="322"/>
      <c r="D65" s="125"/>
    </row>
    <row r="66" spans="3:4">
      <c r="C66" s="322"/>
      <c r="D66" s="125"/>
    </row>
    <row r="67" spans="3:4">
      <c r="C67" s="322"/>
      <c r="D67" s="125"/>
    </row>
    <row r="68" spans="3:4">
      <c r="C68" s="322"/>
      <c r="D68" s="125"/>
    </row>
    <row r="69" spans="3:4">
      <c r="C69" s="322"/>
      <c r="D69" s="125"/>
    </row>
    <row r="70" spans="3:4">
      <c r="C70" s="322" t="s">
        <v>267</v>
      </c>
      <c r="D70" s="125"/>
    </row>
    <row r="71" spans="3:4">
      <c r="C71" s="322"/>
      <c r="D71" s="125"/>
    </row>
    <row r="72" spans="3:4">
      <c r="C72" s="322"/>
      <c r="D72" s="125"/>
    </row>
    <row r="73" spans="3:4">
      <c r="C73" s="322"/>
      <c r="D73" s="125"/>
    </row>
    <row r="74" spans="3:4">
      <c r="C74" s="322"/>
      <c r="D74" s="125"/>
    </row>
    <row r="75" spans="3:4">
      <c r="C75" s="322"/>
      <c r="D75" s="125"/>
    </row>
    <row r="76" spans="3:4">
      <c r="C76" s="322"/>
      <c r="D76" s="125"/>
    </row>
    <row r="77" spans="3:4">
      <c r="C77" s="322"/>
      <c r="D77" s="125"/>
    </row>
    <row r="78" spans="3:4">
      <c r="C78" s="322"/>
      <c r="D78" s="125"/>
    </row>
    <row r="79" spans="3:4">
      <c r="C79" s="322"/>
      <c r="D79" s="125"/>
    </row>
    <row r="80" spans="3:4">
      <c r="C80" s="382" t="s">
        <v>266</v>
      </c>
      <c r="D80" s="140"/>
    </row>
    <row r="84" spans="3:3">
      <c r="C84" t="s">
        <v>111</v>
      </c>
    </row>
  </sheetData>
  <phoneticPr fontId="16" type="noConversion"/>
  <pageMargins left="0.75" right="0.75" top="1" bottom="1" header="0.5" footer="0.5"/>
  <pageSetup orientation="portrait" horizontalDpi="4294967292" verticalDpi="4294967292"/>
  <colBreaks count="1" manualBreakCount="1">
    <brk id="6" max="1048575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4"/>
  <sheetViews>
    <sheetView workbookViewId="0">
      <selection activeCell="E2" sqref="E2"/>
    </sheetView>
  </sheetViews>
  <sheetFormatPr baseColWidth="10" defaultRowHeight="14" x14ac:dyDescent="0"/>
  <cols>
    <col min="1" max="1" width="17.6640625" customWidth="1"/>
    <col min="2" max="2" width="12.5" customWidth="1"/>
    <col min="3" max="3" width="11.6640625" customWidth="1"/>
    <col min="4" max="4" width="16.83203125" customWidth="1"/>
    <col min="5" max="5" width="24.83203125" customWidth="1"/>
    <col min="6" max="6" width="37.6640625" customWidth="1"/>
    <col min="7" max="7" width="36.1640625" customWidth="1"/>
  </cols>
  <sheetData>
    <row r="1" spans="1:7" ht="23">
      <c r="A1" s="304" t="s">
        <v>106</v>
      </c>
      <c r="B1" s="304" t="s">
        <v>108</v>
      </c>
      <c r="C1" s="304" t="s">
        <v>119</v>
      </c>
      <c r="D1" s="309" t="s">
        <v>126</v>
      </c>
      <c r="E1" s="304" t="s">
        <v>115</v>
      </c>
      <c r="F1" s="304" t="s">
        <v>117</v>
      </c>
      <c r="G1" s="304" t="s">
        <v>118</v>
      </c>
    </row>
    <row r="2" spans="1:7">
      <c r="A2" s="125" t="s">
        <v>116</v>
      </c>
      <c r="B2" t="s">
        <v>110</v>
      </c>
      <c r="C2" s="303">
        <v>68</v>
      </c>
      <c r="D2" s="303"/>
      <c r="E2" s="306">
        <f>AVERAGE(LOOKUP(C2,As!$A$12:$A$40,As!$E$12:$E$40),LOOKUP(C2,As!$A$12:$A$40,As!$F$12:$F$40),LOOKUP(C2,As!$A$12:$A$40,As!$G$12:$G$40))</f>
        <v>0.38000000000000006</v>
      </c>
      <c r="F2" s="185">
        <f>SUM(E2:E14)+13*0.6096</f>
        <v>12.948133333333335</v>
      </c>
      <c r="G2" s="185">
        <v>13.08</v>
      </c>
    </row>
    <row r="3" spans="1:7">
      <c r="A3" s="125"/>
      <c r="C3" s="185">
        <v>67</v>
      </c>
      <c r="D3" s="185"/>
      <c r="E3" s="306">
        <f>AVERAGE(LOOKUP(C3,As!$A$12:$A$40,As!$E$12:$E$40),LOOKUP(C3,As!$A$12:$A$40,As!$F$12:$F$40),LOOKUP(C3,As!$A$12:$A$40,As!$G$12:$G$40))</f>
        <v>0.38999999999999996</v>
      </c>
      <c r="F3" s="185"/>
      <c r="G3" s="185"/>
    </row>
    <row r="4" spans="1:7">
      <c r="A4" s="125"/>
      <c r="C4" s="185">
        <v>66</v>
      </c>
      <c r="D4" s="185"/>
      <c r="E4" s="306">
        <f>AVERAGE(LOOKUP(C4,As!$A$12:$A$40,As!$E$12:$E$40),LOOKUP(C4,As!$A$12:$A$40,As!$F$12:$F$40),LOOKUP(C4,As!$A$12:$A$40,As!$G$12:$G$40))</f>
        <v>0.38000000000000006</v>
      </c>
      <c r="F4" s="185"/>
      <c r="G4" s="185"/>
    </row>
    <row r="5" spans="1:7">
      <c r="A5" s="125"/>
      <c r="C5" s="185">
        <v>65</v>
      </c>
      <c r="D5" s="185"/>
      <c r="E5" s="306">
        <f>AVERAGE(LOOKUP(C5,As!$A$12:$A$40,As!$E$12:$E$40),LOOKUP(C5,As!$A$12:$A$40,As!$F$12:$F$40),LOOKUP(C5,As!$A$12:$A$40,As!$G$12:$G$40))</f>
        <v>0.38000000000000006</v>
      </c>
      <c r="F5" s="185"/>
      <c r="G5" s="185"/>
    </row>
    <row r="6" spans="1:7">
      <c r="A6" s="125"/>
      <c r="C6" s="185">
        <v>64</v>
      </c>
      <c r="D6" s="185"/>
      <c r="E6" s="306">
        <f>AVERAGE(LOOKUP(C6,As!$A$12:$A$40,As!$E$12:$E$40),LOOKUP(C6,As!$A$12:$A$40,As!$F$12:$F$40),LOOKUP(C6,As!$A$12:$A$40,As!$G$12:$G$40))</f>
        <v>0.38999999999999996</v>
      </c>
      <c r="F6" s="185"/>
      <c r="G6" s="185"/>
    </row>
    <row r="7" spans="1:7">
      <c r="A7" s="125"/>
      <c r="C7" s="185">
        <v>63</v>
      </c>
      <c r="D7" s="185"/>
      <c r="E7" s="306">
        <f>AVERAGE(LOOKUP(C7,As!$A$12:$A$40,As!$E$12:$E$40),LOOKUP(C7,As!$A$12:$A$40,As!$F$12:$F$40),LOOKUP(C7,As!$A$12:$A$40,As!$G$12:$G$40))</f>
        <v>0.38999999999999996</v>
      </c>
      <c r="F7" s="185"/>
      <c r="G7" s="185"/>
    </row>
    <row r="8" spans="1:7">
      <c r="A8" s="125"/>
      <c r="C8" s="185">
        <v>62</v>
      </c>
      <c r="D8" s="185"/>
      <c r="E8" s="306">
        <f>AVERAGE(LOOKUP(C8,As!$A$12:$A$40,As!$E$12:$E$40),LOOKUP(C8,As!$A$12:$A$40,As!$F$12:$F$40),LOOKUP(C8,As!$A$12:$A$40,As!$G$12:$G$40))</f>
        <v>0.37666666666666665</v>
      </c>
      <c r="F8" s="185"/>
      <c r="G8" s="185"/>
    </row>
    <row r="9" spans="1:7">
      <c r="A9" s="125"/>
      <c r="C9" s="185">
        <v>61</v>
      </c>
      <c r="D9" s="185"/>
      <c r="E9" s="306">
        <f>AVERAGE(LOOKUP(C9,As!$A$12:$A$40,As!$E$12:$E$40),LOOKUP(C9,As!$A$12:$A$40,As!$F$12:$F$40),LOOKUP(C9,As!$A$12:$A$40,As!$G$12:$G$40))</f>
        <v>0.38999999999999996</v>
      </c>
      <c r="F9" s="185"/>
      <c r="G9" s="185"/>
    </row>
    <row r="10" spans="1:7">
      <c r="A10" s="125"/>
      <c r="C10" s="185">
        <v>60</v>
      </c>
      <c r="D10" s="185"/>
      <c r="E10" s="306">
        <f>AVERAGE(LOOKUP(C10,As!$A$12:$A$40,As!$E$12:$E$40),LOOKUP(C10,As!$A$12:$A$40,As!$F$12:$F$40),LOOKUP(C10,As!$A$12:$A$40,As!$G$12:$G$40))</f>
        <v>0.38999999999999996</v>
      </c>
      <c r="F10" s="185"/>
      <c r="G10" s="185"/>
    </row>
    <row r="11" spans="1:7">
      <c r="A11" s="125"/>
      <c r="C11" s="185">
        <v>58</v>
      </c>
      <c r="D11" s="185"/>
      <c r="E11" s="306">
        <f>AVERAGE(LOOKUP(C11,As!$A$12:$A$40,As!$E$12:$E$40),LOOKUP(C11,As!$A$12:$A$40,As!$F$12:$F$40),LOOKUP(C11,As!$A$12:$A$40,As!$G$12:$G$40))</f>
        <v>0.38999999999999996</v>
      </c>
      <c r="F11" s="185"/>
      <c r="G11" s="185"/>
    </row>
    <row r="12" spans="1:7">
      <c r="A12" s="125"/>
      <c r="C12" s="185">
        <v>57</v>
      </c>
      <c r="D12" s="185"/>
      <c r="E12" s="306">
        <f>AVERAGE(LOOKUP(C12,As!$A$12:$A$40,As!$E$12:$E$40),LOOKUP(C12,As!$A$12:$A$40,As!$F$12:$F$40),LOOKUP(C12,As!$A$12:$A$40,As!$G$12:$G$40))</f>
        <v>0.38999999999999996</v>
      </c>
      <c r="F12" s="185"/>
      <c r="G12" s="185"/>
    </row>
    <row r="13" spans="1:7">
      <c r="A13" s="125"/>
      <c r="C13" s="185">
        <v>56</v>
      </c>
      <c r="D13" s="185"/>
      <c r="E13" s="306">
        <f>AVERAGE(LOOKUP(C13,As!$A$12:$A$40,As!$E$12:$E$40),LOOKUP(C13,As!$A$12:$A$40,As!$F$12:$F$40),LOOKUP(C13,As!$A$12:$A$40,As!$G$12:$G$40))</f>
        <v>0.38999999999999996</v>
      </c>
      <c r="F13" s="185"/>
      <c r="G13" s="185"/>
    </row>
    <row r="14" spans="1:7">
      <c r="A14" s="125"/>
      <c r="B14" t="s">
        <v>111</v>
      </c>
      <c r="C14" s="185">
        <v>55</v>
      </c>
      <c r="D14" s="185"/>
      <c r="E14" s="306">
        <f>AVERAGE(LOOKUP(C14,As!$A$12:$A$40,As!$E$12:$E$40),LOOKUP(C14,As!$A$12:$A$40,As!$F$12:$F$40),LOOKUP(C14,As!$A$12:$A$40,As!$G$12:$G$40))</f>
        <v>0.38666666666666671</v>
      </c>
      <c r="F14" s="185"/>
      <c r="G14" s="185"/>
    </row>
    <row r="15" spans="1:7">
      <c r="A15" s="302" t="s">
        <v>120</v>
      </c>
      <c r="B15" s="14" t="s">
        <v>110</v>
      </c>
      <c r="C15" s="303">
        <v>82</v>
      </c>
      <c r="D15" s="303"/>
      <c r="E15" s="307">
        <f>AVERAGE(LOOKUP(C15,As!$A$12:$A$40,As!$E$12:$E$40),LOOKUP(C15,As!$A$12:$A$40,As!$F$12:$F$40),LOOKUP(C15,As!$A$12:$A$40,As!$G$12:$G$40))</f>
        <v>0.38999999999999996</v>
      </c>
      <c r="F15" s="303">
        <f>SUM(E15:E27)+13*0.6096</f>
        <v>12.934799999999999</v>
      </c>
      <c r="G15" s="303">
        <v>12.92</v>
      </c>
    </row>
    <row r="16" spans="1:7">
      <c r="A16" s="125"/>
      <c r="C16" s="185">
        <v>81</v>
      </c>
      <c r="D16" s="185"/>
      <c r="E16" s="306">
        <f>AVERAGE(LOOKUP(C16,As!$A$12:$A$40,As!$E$12:$E$40),LOOKUP(C16,As!$A$12:$A$40,As!$F$12:$F$40),LOOKUP(C16,As!$A$12:$A$40,As!$G$12:$G$40))</f>
        <v>0.38999999999999996</v>
      </c>
      <c r="F16" s="185"/>
      <c r="G16" s="185"/>
    </row>
    <row r="17" spans="1:7">
      <c r="A17" s="125"/>
      <c r="C17" s="185">
        <v>80</v>
      </c>
      <c r="D17" s="185"/>
      <c r="E17" s="306">
        <f>AVERAGE(LOOKUP(C17,As!$A$12:$A$40,As!$E$12:$E$40),LOOKUP(C17,As!$A$12:$A$40,As!$F$12:$F$40),LOOKUP(C17,As!$A$12:$A$40,As!$G$12:$G$40))</f>
        <v>0.38999999999999996</v>
      </c>
      <c r="F17" s="185"/>
      <c r="G17" s="185"/>
    </row>
    <row r="18" spans="1:7">
      <c r="A18" s="125"/>
      <c r="C18" s="185">
        <v>79</v>
      </c>
      <c r="D18" s="185"/>
      <c r="E18" s="306">
        <f>AVERAGE(LOOKUP(C18,As!$A$12:$A$40,As!$E$12:$E$40),LOOKUP(C18,As!$A$12:$A$40,As!$F$12:$F$40),LOOKUP(C18,As!$A$12:$A$40,As!$G$12:$G$40))</f>
        <v>0.38999999999999996</v>
      </c>
      <c r="F18" s="185"/>
      <c r="G18" s="185"/>
    </row>
    <row r="19" spans="1:7">
      <c r="A19" s="125"/>
      <c r="C19" s="185">
        <v>78</v>
      </c>
      <c r="D19" s="185"/>
      <c r="E19" s="306">
        <f>AVERAGE(LOOKUP(C19,As!$A$12:$A$40,As!$E$12:$E$40),LOOKUP(C19,As!$A$12:$A$40,As!$F$12:$F$40),LOOKUP(C19,As!$A$12:$A$40,As!$G$12:$G$40))</f>
        <v>0.38000000000000006</v>
      </c>
      <c r="F19" s="185"/>
      <c r="G19" s="185"/>
    </row>
    <row r="20" spans="1:7">
      <c r="A20" s="125"/>
      <c r="C20" s="185">
        <v>77</v>
      </c>
      <c r="D20" s="185"/>
      <c r="E20" s="306">
        <f>AVERAGE(LOOKUP(C20,As!$A$12:$A$40,As!$E$12:$E$40),LOOKUP(C20,As!$A$12:$A$40,As!$F$12:$F$40),LOOKUP(C20,As!$A$12:$A$40,As!$G$12:$G$40))</f>
        <v>0.38000000000000006</v>
      </c>
      <c r="F20" s="185"/>
      <c r="G20" s="185"/>
    </row>
    <row r="21" spans="1:7">
      <c r="A21" s="125"/>
      <c r="C21" s="185">
        <v>75</v>
      </c>
      <c r="D21" s="185"/>
      <c r="E21" s="306">
        <f>AVERAGE(LOOKUP(C21,As!$A$12:$A$40,As!$E$12:$E$40),LOOKUP(C21,As!$A$12:$A$40,As!$F$12:$F$40),LOOKUP(C21,As!$A$12:$A$40,As!$G$12:$G$40))</f>
        <v>0.38999999999999996</v>
      </c>
      <c r="F21" s="185"/>
      <c r="G21" s="185"/>
    </row>
    <row r="22" spans="1:7">
      <c r="A22" s="125"/>
      <c r="C22" s="185">
        <v>74</v>
      </c>
      <c r="D22" s="185"/>
      <c r="E22" s="306">
        <f>AVERAGE(LOOKUP(C22,As!$A$12:$A$40,As!$E$12:$E$40),LOOKUP(C22,As!$A$12:$A$40,As!$F$12:$F$40),LOOKUP(C22,As!$A$12:$A$40,As!$G$12:$G$40))</f>
        <v>0.38000000000000006</v>
      </c>
      <c r="F22" s="185"/>
      <c r="G22" s="185"/>
    </row>
    <row r="23" spans="1:7">
      <c r="A23" s="125"/>
      <c r="C23" s="185">
        <v>73</v>
      </c>
      <c r="D23" s="185"/>
      <c r="E23" s="306">
        <f>AVERAGE(LOOKUP(C23,As!$A$12:$A$40,As!$E$12:$E$40),LOOKUP(C23,As!$A$12:$A$40,As!$F$12:$F$40),LOOKUP(C23,As!$A$12:$A$40,As!$G$12:$G$40))</f>
        <v>0.38999999999999996</v>
      </c>
      <c r="F23" s="185"/>
      <c r="G23" s="185"/>
    </row>
    <row r="24" spans="1:7">
      <c r="A24" s="125"/>
      <c r="C24" s="185">
        <v>72</v>
      </c>
      <c r="D24" s="185"/>
      <c r="E24" s="306">
        <f>AVERAGE(LOOKUP(C24,As!$A$12:$A$40,As!$E$12:$E$40),LOOKUP(C24,As!$A$12:$A$40,As!$F$12:$F$40),LOOKUP(C24,As!$A$12:$A$40,As!$G$12:$G$40))</f>
        <v>0.38000000000000006</v>
      </c>
      <c r="F24" s="185"/>
      <c r="G24" s="185"/>
    </row>
    <row r="25" spans="1:7">
      <c r="A25" s="125"/>
      <c r="C25" s="185">
        <v>71</v>
      </c>
      <c r="D25" s="185"/>
      <c r="E25" s="306">
        <f>AVERAGE(LOOKUP(C25,As!$A$12:$A$40,As!$E$12:$E$40),LOOKUP(C25,As!$A$12:$A$40,As!$F$12:$F$40),LOOKUP(C25,As!$A$12:$A$40,As!$G$12:$G$40))</f>
        <v>0.38000000000000006</v>
      </c>
      <c r="F25" s="185"/>
      <c r="G25" s="185"/>
    </row>
    <row r="26" spans="1:7">
      <c r="A26" s="125"/>
      <c r="C26" s="185">
        <v>70</v>
      </c>
      <c r="D26" s="185"/>
      <c r="E26" s="306">
        <f>AVERAGE(LOOKUP(C26,As!$A$12:$A$40,As!$E$12:$E$40),LOOKUP(C26,As!$A$12:$A$40,As!$F$12:$F$40),LOOKUP(C26,As!$A$12:$A$40,As!$G$12:$G$40))</f>
        <v>0.38999999999999996</v>
      </c>
      <c r="F26" s="185"/>
      <c r="G26" s="185"/>
    </row>
    <row r="27" spans="1:7">
      <c r="A27" s="140"/>
      <c r="B27" s="103" t="s">
        <v>111</v>
      </c>
      <c r="C27" s="253">
        <v>69</v>
      </c>
      <c r="D27" s="253"/>
      <c r="E27" s="314">
        <f>AVERAGE(LOOKUP(C27,As!$A$12:$A$40,As!$E$12:$E$40),LOOKUP(C27,As!$A$12:$A$40,As!$F$12:$F$40),LOOKUP(C27,As!$A$12:$A$40,As!$G$12:$G$40))</f>
        <v>0.38000000000000006</v>
      </c>
      <c r="F27" s="253"/>
      <c r="G27" s="253"/>
    </row>
    <row r="28" spans="1:7">
      <c r="A28" s="12"/>
      <c r="B28" s="12"/>
      <c r="C28" s="12"/>
      <c r="D28" s="305"/>
    </row>
    <row r="29" spans="1:7">
      <c r="A29" s="12"/>
      <c r="B29" s="12"/>
      <c r="C29" s="12"/>
      <c r="D29" s="305"/>
    </row>
    <row r="30" spans="1:7">
      <c r="A30" s="12"/>
      <c r="B30" s="12"/>
      <c r="C30" s="12"/>
      <c r="D30" s="305"/>
    </row>
    <row r="31" spans="1:7">
      <c r="A31" s="12"/>
      <c r="B31" s="12"/>
      <c r="C31" s="12"/>
      <c r="D31" s="305"/>
    </row>
    <row r="32" spans="1:7">
      <c r="A32" s="12"/>
      <c r="B32" s="12"/>
      <c r="C32" s="12"/>
      <c r="D32" s="305"/>
    </row>
    <row r="33" spans="1:4">
      <c r="A33" s="12"/>
      <c r="B33" s="12"/>
      <c r="C33" s="12"/>
      <c r="D33" s="305"/>
    </row>
    <row r="34" spans="1:4">
      <c r="A34" s="12"/>
      <c r="B34" s="12"/>
      <c r="C34" s="12"/>
      <c r="D34" s="305"/>
    </row>
    <row r="35" spans="1:4">
      <c r="A35" s="12"/>
      <c r="B35" s="12"/>
      <c r="C35" s="12"/>
      <c r="D35" s="305"/>
    </row>
    <row r="36" spans="1:4">
      <c r="A36" s="12"/>
      <c r="B36" s="12"/>
      <c r="C36" s="12"/>
      <c r="D36" s="305"/>
    </row>
    <row r="37" spans="1:4">
      <c r="A37" s="12"/>
      <c r="B37" s="12"/>
      <c r="C37" s="12"/>
      <c r="D37" s="305"/>
    </row>
    <row r="38" spans="1:4">
      <c r="A38" s="12"/>
      <c r="B38" s="12"/>
      <c r="C38" s="12"/>
      <c r="D38" s="305"/>
    </row>
    <row r="39" spans="1:4">
      <c r="A39" s="12"/>
      <c r="B39" s="12"/>
      <c r="C39" s="12"/>
      <c r="D39" s="305"/>
    </row>
    <row r="40" spans="1:4">
      <c r="A40" s="12"/>
      <c r="B40" s="12"/>
      <c r="C40" s="12"/>
      <c r="D40" s="305"/>
    </row>
    <row r="41" spans="1:4">
      <c r="A41" s="12"/>
      <c r="B41" s="12"/>
      <c r="C41" s="12"/>
      <c r="D41" s="305"/>
    </row>
    <row r="42" spans="1:4">
      <c r="A42" s="12"/>
      <c r="B42" s="12"/>
      <c r="C42" s="12"/>
      <c r="D42" s="305"/>
    </row>
    <row r="43" spans="1:4">
      <c r="A43" s="12"/>
      <c r="B43" s="12"/>
      <c r="C43" s="12"/>
      <c r="D43" s="305"/>
    </row>
    <row r="44" spans="1:4">
      <c r="A44" s="12"/>
      <c r="B44" s="12"/>
      <c r="C44" s="12"/>
      <c r="D44" s="305"/>
    </row>
    <row r="45" spans="1:4">
      <c r="A45" s="12"/>
      <c r="B45" s="12"/>
      <c r="C45" s="12"/>
      <c r="D45" s="305"/>
    </row>
    <row r="46" spans="1:4">
      <c r="A46" s="12"/>
      <c r="B46" s="12"/>
      <c r="C46" s="12"/>
      <c r="D46" s="305"/>
    </row>
    <row r="47" spans="1:4">
      <c r="A47" s="12"/>
      <c r="B47" s="12"/>
      <c r="C47" s="12"/>
      <c r="D47" s="305"/>
    </row>
    <row r="48" spans="1:4">
      <c r="A48" s="12"/>
      <c r="B48" s="12"/>
      <c r="C48" s="12"/>
      <c r="D48" s="305"/>
    </row>
    <row r="49" spans="1:4">
      <c r="A49" s="12"/>
      <c r="B49" s="12"/>
      <c r="C49" s="12"/>
      <c r="D49" s="305"/>
    </row>
    <row r="50" spans="1:4">
      <c r="A50" s="12"/>
      <c r="B50" s="12"/>
      <c r="C50" s="12"/>
      <c r="D50" s="305"/>
    </row>
    <row r="51" spans="1:4">
      <c r="A51" s="12"/>
      <c r="B51" s="12"/>
      <c r="C51" s="12"/>
      <c r="D51" s="305"/>
    </row>
    <row r="52" spans="1:4">
      <c r="A52" s="12"/>
      <c r="B52" s="12"/>
      <c r="C52" s="12"/>
      <c r="D52" s="305"/>
    </row>
    <row r="53" spans="1:4">
      <c r="A53" s="12"/>
      <c r="B53" s="12"/>
      <c r="C53" s="12"/>
      <c r="D53" s="305"/>
    </row>
    <row r="54" spans="1:4">
      <c r="A54" s="12"/>
      <c r="B54" s="12"/>
      <c r="C54" s="12"/>
      <c r="D54" s="12"/>
    </row>
  </sheetData>
  <phoneticPr fontId="16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"/>
  <sheetViews>
    <sheetView workbookViewId="0">
      <selection activeCell="D2" sqref="D2"/>
    </sheetView>
  </sheetViews>
  <sheetFormatPr baseColWidth="10" defaultRowHeight="14" x14ac:dyDescent="0"/>
  <cols>
    <col min="1" max="1" width="17.6640625" customWidth="1"/>
    <col min="2" max="3" width="11.33203125" customWidth="1"/>
    <col min="4" max="4" width="23.1640625" customWidth="1"/>
    <col min="5" max="5" width="25.5" customWidth="1"/>
    <col min="6" max="7" width="37.33203125" customWidth="1"/>
  </cols>
  <sheetData>
    <row r="1" spans="1:7" ht="23">
      <c r="A1" s="304" t="s">
        <v>106</v>
      </c>
      <c r="B1" s="304" t="s">
        <v>108</v>
      </c>
      <c r="C1" s="304" t="s">
        <v>125</v>
      </c>
      <c r="D1" s="309" t="s">
        <v>126</v>
      </c>
      <c r="E1" s="304" t="s">
        <v>115</v>
      </c>
      <c r="F1" s="304" t="s">
        <v>117</v>
      </c>
      <c r="G1" s="304" t="s">
        <v>118</v>
      </c>
    </row>
    <row r="2" spans="1:7">
      <c r="A2" s="87" t="s">
        <v>121</v>
      </c>
      <c r="B2" s="185" t="s">
        <v>110</v>
      </c>
      <c r="C2" s="185">
        <v>12</v>
      </c>
      <c r="D2" s="303" t="s">
        <v>213</v>
      </c>
      <c r="E2" s="306">
        <f>AVERAGE(LOOKUP(C2,B!$A$12:$A$165,B!$E$12:$E$165),LOOKUP(C2,B!$A$12:$A$165,B!$F$12:$F$165),LOOKUP(C2,B!$A$12:$A$165,B!$G$12:$G$165),LOOKUP(C2,B!$A$12:$A$165,B!$H$12:$H$165),LOOKUP(C2,B!$A$12:$A$165,B!$I$12:$I$165))</f>
        <v>0.49000000000000005</v>
      </c>
      <c r="F2" s="185">
        <f>SUM(E2:E13)+12*0.56896</f>
        <v>12.82352</v>
      </c>
      <c r="G2" s="185">
        <v>13.03</v>
      </c>
    </row>
    <row r="3" spans="1:7">
      <c r="A3" s="87"/>
      <c r="B3" s="185"/>
      <c r="C3" s="185">
        <v>11</v>
      </c>
      <c r="E3" s="306">
        <f>AVERAGE(LOOKUP(C3,B!$A$12:$A$165,B!$E$12:$E$165),LOOKUP(C3,B!$A$12:$A$165,B!$F$12:$F$165),LOOKUP(C3,B!$A$12:$A$165,B!$G$12:$G$165),LOOKUP(C3,B!$A$12:$A$165,B!$H$12:$H$165),LOOKUP(C3,B!$A$12:$A$165,B!$I$12:$I$165))</f>
        <v>0.51</v>
      </c>
      <c r="F3" s="185"/>
      <c r="G3" s="185"/>
    </row>
    <row r="4" spans="1:7">
      <c r="A4" s="87"/>
      <c r="B4" s="185"/>
      <c r="C4" s="185">
        <v>10</v>
      </c>
      <c r="D4" t="s">
        <v>129</v>
      </c>
      <c r="E4" s="306">
        <f>AVERAGE(LOOKUP(C4,B!$A$12:$A$165,B!$E$12:$E$165),LOOKUP(C4,B!$A$12:$A$165,B!$F$12:$F$165),LOOKUP(C4,B!$A$12:$A$165,B!$G$12:$G$165),LOOKUP(C4,B!$A$12:$A$165,B!$H$12:$H$165),LOOKUP(C4,B!$A$12:$A$165,B!$I$12:$I$165))</f>
        <v>0.5</v>
      </c>
      <c r="F4" s="185"/>
      <c r="G4" s="185"/>
    </row>
    <row r="5" spans="1:7">
      <c r="A5" s="87"/>
      <c r="B5" s="185"/>
      <c r="C5" s="185">
        <v>9</v>
      </c>
      <c r="E5" s="306">
        <f>AVERAGE(LOOKUP(C5,B!$A$12:$A$165,B!$E$12:$E$165),LOOKUP(C5,B!$A$12:$A$165,B!$F$12:$F$165),LOOKUP(C5,B!$A$12:$A$165,B!$G$12:$G$165),LOOKUP(C5,B!$A$12:$A$165,B!$H$12:$H$165),LOOKUP(C5,B!$A$12:$A$165,B!$I$12:$I$165))</f>
        <v>0.5</v>
      </c>
      <c r="F5" s="185"/>
      <c r="G5" s="185"/>
    </row>
    <row r="6" spans="1:7">
      <c r="A6" s="87"/>
      <c r="B6" s="185"/>
      <c r="C6" s="185">
        <v>1</v>
      </c>
      <c r="E6" s="306">
        <f>AVERAGE(LOOKUP(C6,B!$A$12:$A$165,B!$E$12:$E$165),LOOKUP(C6,B!$A$12:$A$165,B!$F$12:$F$165),LOOKUP(C6,B!$A$12:$A$165,B!$G$12:$G$165),LOOKUP(C6,B!$A$12:$A$165,B!$H$12:$H$165),LOOKUP(C6,B!$A$12:$A$165,B!$I$12:$I$165))</f>
        <v>0.49199999999999999</v>
      </c>
      <c r="F6" s="185"/>
      <c r="G6" s="185"/>
    </row>
    <row r="7" spans="1:7">
      <c r="A7" s="87"/>
      <c r="B7" s="185"/>
      <c r="C7" s="185">
        <v>7</v>
      </c>
      <c r="E7" s="306">
        <f>AVERAGE(LOOKUP(C7,B!$A$12:$A$165,B!$E$12:$E$165),LOOKUP(C7,B!$A$12:$A$165,B!$F$12:$F$165),LOOKUP(C7,B!$A$12:$A$165,B!$G$12:$G$165),LOOKUP(C7,B!$A$12:$A$165,B!$H$12:$H$165),LOOKUP(C7,B!$A$12:$A$165,B!$I$12:$I$165))</f>
        <v>0.49199999999999999</v>
      </c>
      <c r="F7" s="185"/>
      <c r="G7" s="185"/>
    </row>
    <row r="8" spans="1:7">
      <c r="A8" s="87"/>
      <c r="B8" s="185"/>
      <c r="C8" s="185">
        <v>6</v>
      </c>
      <c r="D8" t="s">
        <v>127</v>
      </c>
      <c r="E8" s="306">
        <f>AVERAGE(LOOKUP(C8,B!$A$12:$A$165,B!$E$12:$E$165),LOOKUP(C8,B!$A$12:$A$165,B!$F$12:$F$165),LOOKUP(C8,B!$A$12:$A$165,B!$G$12:$G$165),LOOKUP(C8,B!$A$12:$A$165,B!$H$12:$H$165),LOOKUP(C8,B!$A$12:$A$165,B!$I$12:$I$165))</f>
        <v>0.49800000000000005</v>
      </c>
      <c r="F8" s="185"/>
      <c r="G8" s="185"/>
    </row>
    <row r="9" spans="1:7">
      <c r="A9" s="87"/>
      <c r="B9" s="185"/>
      <c r="C9" s="185">
        <v>5</v>
      </c>
      <c r="D9" t="s">
        <v>128</v>
      </c>
      <c r="E9" s="306">
        <f>AVERAGE(LOOKUP(C9,B!$A$12:$A$165,B!$E$12:$E$165),LOOKUP(C9,B!$A$12:$A$165,B!$F$12:$F$165),LOOKUP(C9,B!$A$12:$A$165,B!$G$12:$G$165),LOOKUP(C9,B!$A$12:$A$165,B!$H$12:$H$165),LOOKUP(C9,B!$A$12:$A$165,B!$I$12:$I$165))</f>
        <v>0.50800000000000001</v>
      </c>
      <c r="F9" s="185"/>
      <c r="G9" s="185"/>
    </row>
    <row r="10" spans="1:7">
      <c r="A10" s="87"/>
      <c r="B10" s="185"/>
      <c r="C10" s="185">
        <v>8</v>
      </c>
      <c r="D10" t="s">
        <v>128</v>
      </c>
      <c r="E10" s="306">
        <f>AVERAGE(LOOKUP(C10,B!$A$12:$A$165,B!$E$12:$E$165),LOOKUP(C10,B!$A$12:$A$165,B!$F$12:$F$165),LOOKUP(C10,B!$A$12:$A$165,B!$G$12:$G$165),LOOKUP(C10,B!$A$12:$A$165,B!$H$12:$H$165),LOOKUP(C10,B!$A$12:$A$165,B!$I$12:$I$165))</f>
        <v>0.502</v>
      </c>
      <c r="F10" s="185"/>
      <c r="G10" s="185"/>
    </row>
    <row r="11" spans="1:7">
      <c r="A11" s="87"/>
      <c r="B11" s="185"/>
      <c r="C11" s="185">
        <v>4</v>
      </c>
      <c r="E11" s="306">
        <f>AVERAGE(LOOKUP(C11,B!$A$12:$A$165,B!$E$12:$E$165),LOOKUP(C11,B!$A$12:$A$165,B!$F$12:$F$165),LOOKUP(C11,B!$A$12:$A$165,B!$G$12:$G$165),LOOKUP(C11,B!$A$12:$A$165,B!$H$12:$H$165),LOOKUP(C11,B!$A$12:$A$165,B!$I$12:$I$165))</f>
        <v>0.50800000000000001</v>
      </c>
      <c r="F11" s="185"/>
      <c r="G11" s="185"/>
    </row>
    <row r="12" spans="1:7">
      <c r="A12" s="87"/>
      <c r="B12" s="185"/>
      <c r="C12" s="185">
        <v>3</v>
      </c>
      <c r="D12" t="s">
        <v>127</v>
      </c>
      <c r="E12" s="306">
        <f>AVERAGE(LOOKUP(C12,B!$A$12:$A$165,B!$E$12:$E$165),LOOKUP(C12,B!$A$12:$A$165,B!$F$12:$F$165),LOOKUP(C12,B!$A$12:$A$165,B!$G$12:$G$165),LOOKUP(C12,B!$A$12:$A$165,B!$H$12:$H$165),LOOKUP(C12,B!$A$12:$A$165,B!$I$12:$I$165))</f>
        <v>0.49800000000000005</v>
      </c>
      <c r="F12" s="185"/>
      <c r="G12" s="185"/>
    </row>
    <row r="13" spans="1:7">
      <c r="A13" s="87"/>
      <c r="B13" s="185" t="s">
        <v>111</v>
      </c>
      <c r="C13" s="185">
        <v>2</v>
      </c>
      <c r="E13" s="306">
        <f>AVERAGE(LOOKUP(C13,B!$A$12:$A$165,B!$E$12:$E$165),LOOKUP(C13,B!$A$12:$A$165,B!$F$12:$F$165),LOOKUP(C13,B!$A$12:$A$165,B!$G$12:$G$165),LOOKUP(C13,B!$A$12:$A$165,B!$H$12:$H$165),LOOKUP(C13,B!$A$12:$A$165,B!$I$12:$I$165))</f>
        <v>0.49800000000000005</v>
      </c>
      <c r="F13" s="185"/>
      <c r="G13" s="185"/>
    </row>
    <row r="14" spans="1:7">
      <c r="A14" s="14" t="s">
        <v>122</v>
      </c>
      <c r="B14" s="303" t="s">
        <v>110</v>
      </c>
      <c r="C14" s="303">
        <v>21</v>
      </c>
      <c r="D14" s="303"/>
      <c r="E14" s="307">
        <f>AVERAGE(LOOKUP(C14,B!$A$12:$A$165,B!$E$12:$E$165),LOOKUP(C14,B!$A$12:$A$165,B!$F$12:$F$165),LOOKUP(C14,B!$A$12:$A$165,B!$G$12:$G$165),LOOKUP(C14,B!$A$12:$A$165,B!$H$12:$H$165),LOOKUP(C14,B!$A$12:$A$165,B!$I$12:$I$165))</f>
        <v>0.49000000000000005</v>
      </c>
      <c r="F14" s="303">
        <f>SUM(E14:E25)+12*0.56896</f>
        <v>12.809519999999999</v>
      </c>
      <c r="G14" s="303">
        <v>12.87</v>
      </c>
    </row>
    <row r="15" spans="1:7">
      <c r="A15" s="87"/>
      <c r="B15" s="185"/>
      <c r="C15" s="185">
        <v>23</v>
      </c>
      <c r="E15" s="306">
        <f>AVERAGE(LOOKUP(C15,B!$A$12:$A$165,B!$E$12:$E$165),LOOKUP(C15,B!$A$12:$A$165,B!$F$12:$F$165),LOOKUP(C15,B!$A$12:$A$165,B!$G$12:$G$165),LOOKUP(C15,B!$A$12:$A$165,B!$H$12:$H$165),LOOKUP(C15,B!$A$12:$A$165,B!$I$12:$I$165))</f>
        <v>0.5</v>
      </c>
      <c r="F15" s="185"/>
      <c r="G15" s="185"/>
    </row>
    <row r="16" spans="1:7">
      <c r="A16" s="87"/>
      <c r="B16" s="185"/>
      <c r="C16" s="185">
        <v>22</v>
      </c>
      <c r="E16" s="306">
        <f>AVERAGE(LOOKUP(C16,B!$A$12:$A$165,B!$E$12:$E$165),LOOKUP(C16,B!$A$12:$A$165,B!$F$12:$F$165),LOOKUP(C16,B!$A$12:$A$165,B!$G$12:$G$165),LOOKUP(C16,B!$A$12:$A$165,B!$H$12:$H$165),LOOKUP(C16,B!$A$12:$A$165,B!$I$12:$I$165))</f>
        <v>0.49000000000000005</v>
      </c>
      <c r="F16" s="185"/>
      <c r="G16" s="185"/>
    </row>
    <row r="17" spans="1:7">
      <c r="A17" s="87"/>
      <c r="B17" s="185"/>
      <c r="C17" s="185">
        <v>19</v>
      </c>
      <c r="D17" t="s">
        <v>128</v>
      </c>
      <c r="E17" s="306">
        <f>AVERAGE(LOOKUP(C17,B!$A$12:$A$165,B!$E$12:$E$165),LOOKUP(C17,B!$A$12:$A$165,B!$F$12:$F$165),LOOKUP(C17,B!$A$12:$A$165,B!$G$12:$G$165),LOOKUP(C17,B!$A$12:$A$165,B!$H$12:$H$165),LOOKUP(C17,B!$A$12:$A$165,B!$I$12:$I$165))</f>
        <v>0.49800000000000005</v>
      </c>
      <c r="F17" s="185"/>
      <c r="G17" s="185"/>
    </row>
    <row r="18" spans="1:7">
      <c r="A18" s="87"/>
      <c r="B18" s="185"/>
      <c r="C18" s="185">
        <v>30</v>
      </c>
      <c r="E18" s="306">
        <f>AVERAGE(LOOKUP(C18,B!$A$12:$A$165,B!$E$12:$E$165),LOOKUP(C18,B!$A$12:$A$165,B!$F$12:$F$165),LOOKUP(C18,B!$A$12:$A$165,B!$G$12:$G$165),LOOKUP(C18,B!$A$12:$A$165,B!$H$12:$H$165),LOOKUP(C18,B!$A$12:$A$165,B!$I$12:$I$165))</f>
        <v>0.49800000000000005</v>
      </c>
      <c r="F18" s="185"/>
      <c r="G18" s="185"/>
    </row>
    <row r="19" spans="1:7">
      <c r="A19" s="87"/>
      <c r="B19" s="185"/>
      <c r="C19" s="185">
        <v>24</v>
      </c>
      <c r="E19" s="306">
        <f>AVERAGE(LOOKUP(C19,B!$A$12:$A$165,B!$E$12:$E$165),LOOKUP(C19,B!$A$12:$A$165,B!$F$12:$F$165),LOOKUP(C19,B!$A$12:$A$165,B!$G$12:$G$165),LOOKUP(C19,B!$A$12:$A$165,B!$H$12:$H$165),LOOKUP(C19,B!$A$12:$A$165,B!$I$12:$I$165))</f>
        <v>0.5</v>
      </c>
      <c r="F19" s="185"/>
      <c r="G19" s="185"/>
    </row>
    <row r="20" spans="1:7">
      <c r="A20" s="87"/>
      <c r="B20" s="185"/>
      <c r="C20" s="185">
        <v>18</v>
      </c>
      <c r="E20" s="306">
        <f>AVERAGE(LOOKUP(C20,B!$A$12:$A$165,B!$E$12:$E$165),LOOKUP(C20,B!$A$12:$A$165,B!$F$12:$F$165),LOOKUP(C20,B!$A$12:$A$165,B!$G$12:$G$165),LOOKUP(C20,B!$A$12:$A$165,B!$H$12:$H$165),LOOKUP(C20,B!$A$12:$A$165,B!$I$12:$I$165))</f>
        <v>0.504</v>
      </c>
      <c r="F20" s="185"/>
      <c r="G20" s="185"/>
    </row>
    <row r="21" spans="1:7">
      <c r="A21" s="87"/>
      <c r="B21" s="185"/>
      <c r="C21" s="185">
        <v>25</v>
      </c>
      <c r="E21" s="306">
        <f>AVERAGE(LOOKUP(C21,B!$A$12:$A$165,B!$E$12:$E$165),LOOKUP(C21,B!$A$12:$A$165,B!$F$12:$F$165),LOOKUP(C21,B!$A$12:$A$165,B!$G$12:$G$165),LOOKUP(C21,B!$A$12:$A$165,B!$H$12:$H$165),LOOKUP(C21,B!$A$12:$A$165,B!$I$12:$I$165))</f>
        <v>0.51</v>
      </c>
      <c r="F21" s="185"/>
      <c r="G21" s="185"/>
    </row>
    <row r="22" spans="1:7">
      <c r="A22" s="87"/>
      <c r="B22" s="185"/>
      <c r="C22" s="185">
        <v>16</v>
      </c>
      <c r="D22" t="s">
        <v>128</v>
      </c>
      <c r="E22" s="306">
        <f>AVERAGE(LOOKUP(C22,B!$A$12:$A$165,B!$E$12:$E$165),LOOKUP(C22,B!$A$12:$A$165,B!$F$12:$F$165),LOOKUP(C22,B!$A$12:$A$165,B!$G$12:$G$165),LOOKUP(C22,B!$A$12:$A$165,B!$H$12:$H$165),LOOKUP(C22,B!$A$12:$A$165,B!$I$12:$I$165))</f>
        <v>0.49000000000000005</v>
      </c>
      <c r="F22" s="185"/>
      <c r="G22" s="185"/>
    </row>
    <row r="23" spans="1:7">
      <c r="A23" s="87"/>
      <c r="B23" s="185"/>
      <c r="C23" s="185">
        <v>15</v>
      </c>
      <c r="E23" s="306">
        <f>AVERAGE(LOOKUP(C23,B!$A$12:$A$165,B!$E$12:$E$165),LOOKUP(C23,B!$A$12:$A$165,B!$F$12:$F$165),LOOKUP(C23,B!$A$12:$A$165,B!$G$12:$G$165),LOOKUP(C23,B!$A$12:$A$165,B!$H$12:$H$165),LOOKUP(C23,B!$A$12:$A$165,B!$I$12:$I$165))</f>
        <v>0.502</v>
      </c>
      <c r="F23" s="185"/>
      <c r="G23" s="185"/>
    </row>
    <row r="24" spans="1:7">
      <c r="A24" s="87"/>
      <c r="B24" s="185"/>
      <c r="C24" s="185">
        <v>14</v>
      </c>
      <c r="E24" s="306">
        <f>AVERAGE(LOOKUP(C24,B!$A$12:$A$165,B!$E$12:$E$165),LOOKUP(C24,B!$A$12:$A$165,B!$F$12:$F$165),LOOKUP(C24,B!$A$12:$A$165,B!$G$12:$G$165),LOOKUP(C24,B!$A$12:$A$165,B!$H$12:$H$165),LOOKUP(C24,B!$A$12:$A$165,B!$I$12:$I$165))</f>
        <v>0.5</v>
      </c>
      <c r="F24" s="185"/>
      <c r="G24" s="185"/>
    </row>
    <row r="25" spans="1:7">
      <c r="A25" s="87"/>
      <c r="B25" s="185" t="s">
        <v>111</v>
      </c>
      <c r="C25" s="185">
        <v>13</v>
      </c>
      <c r="E25" s="306">
        <f>AVERAGE(LOOKUP(C25,B!$A$12:$A$165,B!$E$12:$E$165),LOOKUP(C25,B!$A$12:$A$165,B!$F$12:$F$165),LOOKUP(C25,B!$A$12:$A$165,B!$G$12:$G$165),LOOKUP(C25,B!$A$12:$A$165,B!$H$12:$H$165),LOOKUP(C25,B!$A$12:$A$165,B!$I$12:$I$165))</f>
        <v>0.5</v>
      </c>
      <c r="F25" s="185"/>
      <c r="G25" s="185"/>
    </row>
    <row r="26" spans="1:7">
      <c r="A26" s="14" t="s">
        <v>123</v>
      </c>
      <c r="B26" s="303" t="s">
        <v>110</v>
      </c>
      <c r="C26" s="303">
        <v>135</v>
      </c>
      <c r="D26" s="303"/>
      <c r="E26" s="307">
        <f>AVERAGE(LOOKUP(C26,B!$A$12:$A$165,B!$E$12:$E$165),LOOKUP(C26,B!$A$12:$A$165,B!$F$12:$F$165),LOOKUP(C26,B!$A$12:$A$165,B!$G$12:$G$165),LOOKUP(C26,B!$A$12:$A$165,B!$H$12:$H$165),LOOKUP(C26,B!$A$12:$A$165,B!$I$12:$I$165))</f>
        <v>0.50800000000000001</v>
      </c>
      <c r="F26" s="303">
        <f>SUM(E26:E37)+12*0.56896</f>
        <v>12.883520000000001</v>
      </c>
      <c r="G26" s="303">
        <v>12.85</v>
      </c>
    </row>
    <row r="27" spans="1:7">
      <c r="A27" s="87"/>
      <c r="B27" s="185"/>
      <c r="C27" s="185">
        <v>133</v>
      </c>
      <c r="E27" s="306">
        <f>AVERAGE(LOOKUP(C27,B!$A$12:$A$165,B!$E$12:$E$165),LOOKUP(C27,B!$A$12:$A$165,B!$F$12:$F$165),LOOKUP(C27,B!$A$12:$A$165,B!$G$12:$G$165),LOOKUP(C27,B!$A$12:$A$165,B!$H$12:$H$165),LOOKUP(C27,B!$A$12:$A$165,B!$I$12:$I$165))</f>
        <v>0.50399999999999989</v>
      </c>
      <c r="F27" s="185"/>
      <c r="G27" s="185"/>
    </row>
    <row r="28" spans="1:7">
      <c r="A28" s="87"/>
      <c r="B28" s="185"/>
      <c r="C28" s="185">
        <v>132</v>
      </c>
      <c r="E28" s="306">
        <f>AVERAGE(LOOKUP(C28,B!$A$12:$A$165,B!$E$12:$E$165),LOOKUP(C28,B!$A$12:$A$165,B!$F$12:$F$165),LOOKUP(C28,B!$A$12:$A$165,B!$G$12:$G$165),LOOKUP(C28,B!$A$12:$A$165,B!$H$12:$H$165),LOOKUP(C28,B!$A$12:$A$165,B!$I$12:$I$165))</f>
        <v>0.50600000000000001</v>
      </c>
      <c r="F28" s="185"/>
      <c r="G28" s="185"/>
    </row>
    <row r="29" spans="1:7">
      <c r="A29" s="87"/>
      <c r="B29" s="185"/>
      <c r="C29" s="185">
        <v>131</v>
      </c>
      <c r="E29" s="306">
        <f>AVERAGE(LOOKUP(C29,B!$A$12:$A$165,B!$E$12:$E$165),LOOKUP(C29,B!$A$12:$A$165,B!$F$12:$F$165),LOOKUP(C29,B!$A$12:$A$165,B!$G$12:$G$165),LOOKUP(C29,B!$A$12:$A$165,B!$H$12:$H$165),LOOKUP(C29,B!$A$12:$A$165,B!$I$12:$I$165))</f>
        <v>0.502</v>
      </c>
      <c r="F29" s="185"/>
      <c r="G29" s="185"/>
    </row>
    <row r="30" spans="1:7">
      <c r="A30" s="87"/>
      <c r="B30" s="185"/>
      <c r="C30" s="185">
        <v>130</v>
      </c>
      <c r="E30" s="306">
        <f>AVERAGE(LOOKUP(C30,B!$A$12:$A$165,B!$E$12:$E$165),LOOKUP(C30,B!$A$12:$A$165,B!$F$12:$F$165),LOOKUP(C30,B!$A$12:$A$165,B!$G$12:$G$165),LOOKUP(C30,B!$A$12:$A$165,B!$H$12:$H$165),LOOKUP(C30,B!$A$12:$A$165,B!$I$12:$I$165))</f>
        <v>0.51</v>
      </c>
      <c r="F30" s="185"/>
      <c r="G30" s="185"/>
    </row>
    <row r="31" spans="1:7">
      <c r="A31" s="87"/>
      <c r="B31" s="185"/>
      <c r="C31" s="185">
        <v>128</v>
      </c>
      <c r="E31" s="306">
        <f>AVERAGE(LOOKUP(C31,B!$A$12:$A$165,B!$E$12:$E$165),LOOKUP(C31,B!$A$12:$A$165,B!$F$12:$F$165),LOOKUP(C31,B!$A$12:$A$165,B!$G$12:$G$165),LOOKUP(C31,B!$A$12:$A$165,B!$H$12:$H$165),LOOKUP(C31,B!$A$12:$A$165,B!$I$12:$I$165))</f>
        <v>0.51</v>
      </c>
      <c r="F31" s="185"/>
      <c r="G31" s="185"/>
    </row>
    <row r="32" spans="1:7">
      <c r="A32" s="87"/>
      <c r="B32" s="185"/>
      <c r="C32" s="185">
        <v>127</v>
      </c>
      <c r="E32" s="306">
        <f>AVERAGE(LOOKUP(C32,B!$A$12:$A$165,B!$E$12:$E$165),LOOKUP(C32,B!$A$12:$A$165,B!$F$12:$F$165),LOOKUP(C32,B!$A$12:$A$165,B!$G$12:$G$165),LOOKUP(C32,B!$A$12:$A$165,B!$H$12:$H$165),LOOKUP(C32,B!$A$12:$A$165,B!$I$12:$I$165))</f>
        <v>0.51400000000000001</v>
      </c>
      <c r="F32" s="185"/>
      <c r="G32" s="185"/>
    </row>
    <row r="33" spans="1:7">
      <c r="A33" s="87"/>
      <c r="B33" s="185"/>
      <c r="C33" s="185">
        <v>126</v>
      </c>
      <c r="E33" s="306">
        <f>AVERAGE(LOOKUP(C33,B!$A$12:$A$165,B!$E$12:$E$165),LOOKUP(C33,B!$A$12:$A$165,B!$F$12:$F$165),LOOKUP(C33,B!$A$12:$A$165,B!$G$12:$G$165),LOOKUP(C33,B!$A$12:$A$165,B!$H$12:$H$165),LOOKUP(C33,B!$A$12:$A$165,B!$I$12:$I$165))</f>
        <v>0.5</v>
      </c>
      <c r="F33" s="185"/>
      <c r="G33" s="185"/>
    </row>
    <row r="34" spans="1:7">
      <c r="A34" s="87"/>
      <c r="B34" s="185"/>
      <c r="C34" s="185">
        <v>136</v>
      </c>
      <c r="E34" s="306">
        <f>AVERAGE(LOOKUP(C34,B!$A$12:$A$165,B!$E$12:$E$165),LOOKUP(C34,B!$A$12:$A$165,B!$F$12:$F$165),LOOKUP(C34,B!$A$12:$A$165,B!$G$12:$G$165),LOOKUP(C34,B!$A$12:$A$165,B!$H$12:$H$165),LOOKUP(C34,B!$A$12:$A$165,B!$I$12:$I$165))</f>
        <v>0.49399999999999994</v>
      </c>
      <c r="F34" s="185"/>
      <c r="G34" s="185"/>
    </row>
    <row r="35" spans="1:7">
      <c r="A35" s="87"/>
      <c r="B35" s="185"/>
      <c r="C35" s="185">
        <v>124</v>
      </c>
      <c r="E35" s="306">
        <f>AVERAGE(LOOKUP(C35,B!$A$12:$A$165,B!$E$12:$E$165),LOOKUP(C35,B!$A$12:$A$165,B!$F$12:$F$165),LOOKUP(C35,B!$A$12:$A$165,B!$G$12:$G$165),LOOKUP(C35,B!$A$12:$A$165,B!$H$12:$H$165),LOOKUP(C35,B!$A$12:$A$165,B!$I$12:$I$165))</f>
        <v>0.51</v>
      </c>
      <c r="F35" s="185"/>
      <c r="G35" s="185"/>
    </row>
    <row r="36" spans="1:7">
      <c r="A36" s="87"/>
      <c r="B36" s="185"/>
      <c r="C36" s="185">
        <v>122</v>
      </c>
      <c r="E36" s="306">
        <f>AVERAGE(LOOKUP(C36,B!$A$12:$A$165,B!$E$12:$E$165),LOOKUP(C36,B!$A$12:$A$165,B!$F$12:$F$165),LOOKUP(C36,B!$A$12:$A$165,B!$G$12:$G$165),LOOKUP(C36,B!$A$12:$A$165,B!$H$12:$H$165),LOOKUP(C36,B!$A$12:$A$165,B!$I$12:$I$165))</f>
        <v>0.5</v>
      </c>
      <c r="F36" s="185"/>
      <c r="G36" s="185"/>
    </row>
    <row r="37" spans="1:7">
      <c r="A37" s="87"/>
      <c r="B37" s="185" t="s">
        <v>111</v>
      </c>
      <c r="C37" s="185">
        <v>121</v>
      </c>
      <c r="E37" s="306">
        <f>AVERAGE(LOOKUP(C37,B!$A$12:$A$165,B!$E$12:$E$165),LOOKUP(C37,B!$A$12:$A$165,B!$F$12:$F$165),LOOKUP(C37,B!$A$12:$A$165,B!$G$12:$G$165),LOOKUP(C37,B!$A$12:$A$165,B!$H$12:$H$165),LOOKUP(C37,B!$A$12:$A$165,B!$I$12:$I$165))</f>
        <v>0.49800000000000005</v>
      </c>
      <c r="F37" s="185"/>
      <c r="G37" s="185"/>
    </row>
    <row r="38" spans="1:7">
      <c r="A38" s="14" t="s">
        <v>124</v>
      </c>
      <c r="B38" s="303" t="s">
        <v>110</v>
      </c>
      <c r="C38" s="303">
        <v>151</v>
      </c>
      <c r="D38" s="303"/>
      <c r="E38" s="307">
        <f>AVERAGE(LOOKUP(C38,B!$A$12:$A$165,B!$E$12:$E$165),LOOKUP(C38,B!$A$12:$A$165,B!$F$12:$F$165),LOOKUP(C38,B!$A$12:$A$165,B!$G$12:$G$165),LOOKUP(C38,B!$A$12:$A$165,B!$H$12:$H$165),LOOKUP(C38,B!$A$12:$A$165,B!$I$12:$I$165))</f>
        <v>0.50600000000000001</v>
      </c>
      <c r="F38" s="303">
        <f>SUM(E38:E49)+12*0.56896</f>
        <v>12.841519999999999</v>
      </c>
      <c r="G38" s="303">
        <v>12.91</v>
      </c>
    </row>
    <row r="39" spans="1:7">
      <c r="A39" s="87"/>
      <c r="B39" s="185"/>
      <c r="C39" s="185">
        <v>150</v>
      </c>
      <c r="E39" s="306">
        <f>AVERAGE(LOOKUP(C39,B!$A$12:$A$165,B!$E$12:$E$165),LOOKUP(C39,B!$A$12:$A$165,B!$F$12:$F$165),LOOKUP(C39,B!$A$12:$A$165,B!$G$12:$G$165),LOOKUP(C39,B!$A$12:$A$165,B!$H$12:$H$165),LOOKUP(C39,B!$A$12:$A$165,B!$I$12:$I$165))</f>
        <v>0.48599999999999993</v>
      </c>
      <c r="F39" s="185"/>
      <c r="G39" s="185"/>
    </row>
    <row r="40" spans="1:7">
      <c r="A40" s="87"/>
      <c r="B40" s="185"/>
      <c r="C40" s="185">
        <v>149</v>
      </c>
      <c r="E40" s="306">
        <f>AVERAGE(LOOKUP(C40,B!$A$12:$A$165,B!$E$12:$E$165),LOOKUP(C40,B!$A$12:$A$165,B!$F$12:$F$165),LOOKUP(C40,B!$A$12:$A$165,B!$G$12:$G$165),LOOKUP(C40,B!$A$12:$A$165,B!$H$12:$H$165),LOOKUP(C40,B!$A$12:$A$165,B!$I$12:$I$165))</f>
        <v>0.51</v>
      </c>
      <c r="F40" s="185"/>
      <c r="G40" s="185"/>
    </row>
    <row r="41" spans="1:7">
      <c r="A41" s="87"/>
      <c r="B41" s="185"/>
      <c r="C41" s="185">
        <v>148</v>
      </c>
      <c r="E41" s="306">
        <f>AVERAGE(LOOKUP(C41,B!$A$12:$A$165,B!$E$12:$E$165),LOOKUP(C41,B!$A$12:$A$165,B!$F$12:$F$165),LOOKUP(C41,B!$A$12:$A$165,B!$G$12:$G$165),LOOKUP(C41,B!$A$12:$A$165,B!$H$12:$H$165),LOOKUP(C41,B!$A$12:$A$165,B!$I$12:$I$165))</f>
        <v>0.5</v>
      </c>
      <c r="F41" s="185"/>
      <c r="G41" s="185"/>
    </row>
    <row r="42" spans="1:7">
      <c r="A42" s="87"/>
      <c r="B42" s="185"/>
      <c r="C42" s="185">
        <v>147</v>
      </c>
      <c r="E42" s="306">
        <f>AVERAGE(LOOKUP(C42,B!$A$12:$A$165,B!$E$12:$E$165),LOOKUP(C42,B!$A$12:$A$165,B!$F$12:$F$165),LOOKUP(C42,B!$A$12:$A$165,B!$G$12:$G$165),LOOKUP(C42,B!$A$12:$A$165,B!$H$12:$H$165),LOOKUP(C42,B!$A$12:$A$165,B!$I$12:$I$165))</f>
        <v>0.50800000000000001</v>
      </c>
      <c r="F42" s="185"/>
      <c r="G42" s="185"/>
    </row>
    <row r="43" spans="1:7">
      <c r="A43" s="87"/>
      <c r="B43" s="185"/>
      <c r="C43" s="185">
        <v>146</v>
      </c>
      <c r="E43" s="306">
        <f>AVERAGE(LOOKUP(C43,B!$A$12:$A$165,B!$E$12:$E$165),LOOKUP(C43,B!$A$12:$A$165,B!$F$12:$F$165),LOOKUP(C43,B!$A$12:$A$165,B!$G$12:$G$165),LOOKUP(C43,B!$A$12:$A$165,B!$H$12:$H$165),LOOKUP(C43,B!$A$12:$A$165,B!$I$12:$I$165))</f>
        <v>0.49000000000000005</v>
      </c>
      <c r="F43" s="185"/>
      <c r="G43" s="185"/>
    </row>
    <row r="44" spans="1:7">
      <c r="A44" s="87"/>
      <c r="B44" s="185"/>
      <c r="C44" s="185">
        <v>145</v>
      </c>
      <c r="E44" s="306">
        <f>AVERAGE(LOOKUP(C44,B!$A$12:$A$165,B!$E$12:$E$165),LOOKUP(C44,B!$A$12:$A$165,B!$F$12:$F$165),LOOKUP(C44,B!$A$12:$A$165,B!$G$12:$G$165),LOOKUP(C44,B!$A$12:$A$165,B!$H$12:$H$165),LOOKUP(C44,B!$A$12:$A$165,B!$I$12:$I$165))</f>
        <v>0.5</v>
      </c>
      <c r="F44" s="185"/>
      <c r="G44" s="185"/>
    </row>
    <row r="45" spans="1:7">
      <c r="A45" s="87"/>
      <c r="B45" s="185"/>
      <c r="C45" s="185">
        <v>144</v>
      </c>
      <c r="E45" s="306">
        <f>AVERAGE(LOOKUP(C45,B!$A$12:$A$165,B!$E$12:$E$165),LOOKUP(C45,B!$A$12:$A$165,B!$F$12:$F$165),LOOKUP(C45,B!$A$12:$A$165,B!$G$12:$G$165),LOOKUP(C45,B!$A$12:$A$165,B!$H$12:$H$165),LOOKUP(C45,B!$A$12:$A$165,B!$I$12:$I$165))</f>
        <v>0.502</v>
      </c>
      <c r="F45" s="185"/>
      <c r="G45" s="185"/>
    </row>
    <row r="46" spans="1:7">
      <c r="A46" s="87"/>
      <c r="B46" s="185"/>
      <c r="C46" s="185">
        <v>143</v>
      </c>
      <c r="E46" s="306">
        <f>AVERAGE(LOOKUP(C46,B!$A$12:$A$165,B!$E$12:$E$165),LOOKUP(C46,B!$A$12:$A$165,B!$F$12:$F$165),LOOKUP(C46,B!$A$12:$A$165,B!$G$12:$G$165),LOOKUP(C46,B!$A$12:$A$165,B!$H$12:$H$165),LOOKUP(C46,B!$A$12:$A$165,B!$I$12:$I$165))</f>
        <v>0.50800000000000001</v>
      </c>
      <c r="F46" s="185"/>
      <c r="G46" s="185"/>
    </row>
    <row r="47" spans="1:7">
      <c r="A47" s="87"/>
      <c r="B47" s="185"/>
      <c r="C47" s="185">
        <v>140</v>
      </c>
      <c r="E47" s="306">
        <f>AVERAGE(LOOKUP(C47,B!$A$12:$A$165,B!$E$12:$E$165),LOOKUP(C47,B!$A$12:$A$165,B!$F$12:$F$165),LOOKUP(C47,B!$A$12:$A$165,B!$G$12:$G$165),LOOKUP(C47,B!$A$12:$A$165,B!$H$12:$H$165),LOOKUP(C47,B!$A$12:$A$165,B!$I$12:$I$165))</f>
        <v>0.51</v>
      </c>
      <c r="F47" s="185"/>
      <c r="G47" s="185"/>
    </row>
    <row r="48" spans="1:7">
      <c r="A48" s="87"/>
      <c r="B48" s="185"/>
      <c r="C48" s="185">
        <v>139</v>
      </c>
      <c r="E48" s="306">
        <f>AVERAGE(LOOKUP(C48,B!$A$12:$A$165,B!$E$12:$E$165),LOOKUP(C48,B!$A$12:$A$165,B!$F$12:$F$165),LOOKUP(C48,B!$A$12:$A$165,B!$G$12:$G$165),LOOKUP(C48,B!$A$12:$A$165,B!$H$12:$H$165),LOOKUP(C48,B!$A$12:$A$165,B!$I$12:$I$165))</f>
        <v>0.49399999999999994</v>
      </c>
      <c r="F48" s="185"/>
      <c r="G48" s="185"/>
    </row>
    <row r="49" spans="1:7">
      <c r="A49" s="103"/>
      <c r="B49" s="253" t="s">
        <v>111</v>
      </c>
      <c r="C49" s="253">
        <v>138</v>
      </c>
      <c r="D49" s="103"/>
      <c r="E49" s="314">
        <f>AVERAGE(LOOKUP(C49,B!$A$12:$A$165,B!$E$12:$E$165),LOOKUP(C49,B!$A$12:$A$165,B!$F$12:$F$165),LOOKUP(C49,B!$A$12:$A$165,B!$G$12:$G$165),LOOKUP(C49,B!$A$12:$A$165,B!$H$12:$H$165),LOOKUP(C49,B!$A$12:$A$165,B!$I$12:$I$165))</f>
        <v>0.5</v>
      </c>
      <c r="F49" s="253"/>
      <c r="G49" s="253"/>
    </row>
    <row r="50" spans="1:7">
      <c r="A50" s="87"/>
      <c r="B50" s="87"/>
    </row>
    <row r="51" spans="1:7">
      <c r="A51" s="87"/>
      <c r="B51" s="87"/>
    </row>
    <row r="52" spans="1:7">
      <c r="A52" s="87"/>
      <c r="B52" s="87"/>
    </row>
    <row r="53" spans="1:7">
      <c r="A53" s="87"/>
      <c r="B53" s="87"/>
    </row>
    <row r="54" spans="1:7">
      <c r="A54" s="87"/>
      <c r="B54" s="87"/>
    </row>
    <row r="55" spans="1:7">
      <c r="A55" s="87"/>
      <c r="B55" s="87"/>
    </row>
  </sheetData>
  <phoneticPr fontId="16" type="noConversion"/>
  <pageMargins left="0.75" right="0.75" top="1" bottom="1" header="0.5" footer="0.5"/>
  <pageSetup scale="50" orientation="landscape" horizontalDpi="4294967292" verticalDpi="4294967292"/>
  <extLst>
    <ext xmlns:mx="http://schemas.microsoft.com/office/mac/excel/2008/main" uri="{64002731-A6B0-56B0-2670-7721B7C09600}">
      <mx:PLV Mode="0" OnePage="0" WScale="32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sqref="A1:G25"/>
    </sheetView>
  </sheetViews>
  <sheetFormatPr baseColWidth="10" defaultRowHeight="14" x14ac:dyDescent="0"/>
  <cols>
    <col min="1" max="1" width="17" customWidth="1"/>
    <col min="4" max="4" width="15.5" customWidth="1"/>
    <col min="5" max="5" width="24.1640625" customWidth="1"/>
    <col min="6" max="6" width="37.83203125" customWidth="1"/>
    <col min="7" max="7" width="36" customWidth="1"/>
  </cols>
  <sheetData>
    <row r="1" spans="1:7" ht="23">
      <c r="A1" s="304" t="s">
        <v>106</v>
      </c>
      <c r="B1" s="304" t="s">
        <v>108</v>
      </c>
      <c r="C1" s="304" t="s">
        <v>132</v>
      </c>
      <c r="D1" s="309" t="s">
        <v>126</v>
      </c>
      <c r="E1" s="304" t="s">
        <v>115</v>
      </c>
      <c r="F1" s="304" t="s">
        <v>117</v>
      </c>
      <c r="G1" s="304" t="s">
        <v>118</v>
      </c>
    </row>
    <row r="2" spans="1:7">
      <c r="A2" s="87" t="s">
        <v>130</v>
      </c>
      <c r="B2" s="185" t="s">
        <v>110</v>
      </c>
      <c r="C2" s="185">
        <v>177</v>
      </c>
      <c r="D2" s="303"/>
      <c r="E2" s="306">
        <f>AVERAGE(LOOKUP(C2,Bs!$A$12:$A$48,Bs!$E$12:$E$48),LOOKUP(C2,Bs!$A$12:$A$48,Bs!$F$12:$F$48),LOOKUP(C2,Bs!$A$12:$A$48,Bs!$G$12:$G$48),LOOKUP(C2,Bs!$A$12:$A$48,Bs!$H$12:$H$48),LOOKUP(C2,Bs!$A$12:$A$48,Bs!$I$12:$I$48))</f>
        <v>0.49199999999999999</v>
      </c>
      <c r="F2" s="185">
        <f>SUM(E2:E13)+12*0.56896</f>
        <v>12.943519999999999</v>
      </c>
      <c r="G2" s="185">
        <v>13.03</v>
      </c>
    </row>
    <row r="3" spans="1:7">
      <c r="A3" s="87"/>
      <c r="B3" s="185"/>
      <c r="C3" s="185">
        <v>176</v>
      </c>
      <c r="E3" s="306">
        <f>AVERAGE(LOOKUP(C3,Bs!$A$12:$A$48,Bs!$E$12:$E$48),LOOKUP(C3,Bs!$A$12:$A$48,Bs!$F$12:$F$48),LOOKUP(C3,Bs!$A$12:$A$48,Bs!$G$12:$G$48),LOOKUP(C3,Bs!$A$12:$A$48,Bs!$H$12:$H$48),LOOKUP(C3,Bs!$A$12:$A$48,Bs!$I$12:$I$48))</f>
        <v>0.51800000000000002</v>
      </c>
      <c r="F3" s="185"/>
      <c r="G3" s="185"/>
    </row>
    <row r="4" spans="1:7">
      <c r="A4" s="87"/>
      <c r="B4" s="185"/>
      <c r="C4" s="185">
        <v>175</v>
      </c>
      <c r="E4" s="306">
        <f>AVERAGE(LOOKUP(C4,Bs!$A$12:$A$48,Bs!$E$12:$E$48),LOOKUP(C4,Bs!$A$12:$A$48,Bs!$F$12:$F$48),LOOKUP(C4,Bs!$A$12:$A$48,Bs!$G$12:$G$48),LOOKUP(C4,Bs!$A$12:$A$48,Bs!$H$12:$H$48),LOOKUP(C4,Bs!$A$12:$A$48,Bs!$I$12:$I$48))</f>
        <v>0.51</v>
      </c>
      <c r="F4" s="185"/>
      <c r="G4" s="185"/>
    </row>
    <row r="5" spans="1:7">
      <c r="A5" s="87"/>
      <c r="B5" s="185"/>
      <c r="C5" s="185">
        <v>174</v>
      </c>
      <c r="E5" s="306">
        <f>AVERAGE(LOOKUP(C5,Bs!$A$12:$A$48,Bs!$E$12:$E$48),LOOKUP(C5,Bs!$A$12:$A$48,Bs!$F$12:$F$48),LOOKUP(C5,Bs!$A$12:$A$48,Bs!$G$12:$G$48),LOOKUP(C5,Bs!$A$12:$A$48,Bs!$H$12:$H$48),LOOKUP(C5,Bs!$A$12:$A$48,Bs!$I$12:$I$48))</f>
        <v>0.51800000000000002</v>
      </c>
      <c r="F5" s="185"/>
      <c r="G5" s="185"/>
    </row>
    <row r="6" spans="1:7">
      <c r="A6" s="87"/>
      <c r="B6" s="185"/>
      <c r="C6" s="185">
        <v>173</v>
      </c>
      <c r="E6" s="306">
        <f>AVERAGE(LOOKUP(C6,Bs!$A$12:$A$48,Bs!$E$12:$E$48),LOOKUP(C6,Bs!$A$12:$A$48,Bs!$F$12:$F$48),LOOKUP(C6,Bs!$A$12:$A$48,Bs!$G$12:$G$48),LOOKUP(C6,Bs!$A$12:$A$48,Bs!$H$12:$H$48),LOOKUP(C6,Bs!$A$12:$A$48,Bs!$I$12:$I$48))</f>
        <v>0.52600000000000002</v>
      </c>
      <c r="F6" s="185"/>
      <c r="G6" s="185"/>
    </row>
    <row r="7" spans="1:7">
      <c r="A7" s="87"/>
      <c r="B7" s="185"/>
      <c r="C7" s="185">
        <v>171</v>
      </c>
      <c r="E7" s="306">
        <f>AVERAGE(LOOKUP(C7,Bs!$A$12:$A$48,Bs!$E$12:$E$48),LOOKUP(C7,Bs!$A$12:$A$48,Bs!$F$12:$F$48),LOOKUP(C7,Bs!$A$12:$A$48,Bs!$G$12:$G$48),LOOKUP(C7,Bs!$A$12:$A$48,Bs!$H$12:$H$48),LOOKUP(C7,Bs!$A$12:$A$48,Bs!$I$12:$I$48))</f>
        <v>0.49800000000000005</v>
      </c>
      <c r="F7" s="185"/>
      <c r="G7" s="185"/>
    </row>
    <row r="8" spans="1:7">
      <c r="A8" s="87"/>
      <c r="B8" s="185"/>
      <c r="C8" s="185">
        <v>170</v>
      </c>
      <c r="E8" s="306">
        <f>AVERAGE(LOOKUP(C8,Bs!$A$12:$A$48,Bs!$E$12:$E$48),LOOKUP(C8,Bs!$A$12:$A$48,Bs!$F$12:$F$48),LOOKUP(C8,Bs!$A$12:$A$48,Bs!$G$12:$G$48),LOOKUP(C8,Bs!$A$12:$A$48,Bs!$H$12:$H$48),LOOKUP(C8,Bs!$A$12:$A$48,Bs!$I$12:$I$48))</f>
        <v>0.5</v>
      </c>
      <c r="F8" s="185"/>
      <c r="G8" s="185"/>
    </row>
    <row r="9" spans="1:7">
      <c r="A9" s="87"/>
      <c r="B9" s="185"/>
      <c r="C9" s="185">
        <v>169</v>
      </c>
      <c r="E9" s="306">
        <f>AVERAGE(LOOKUP(C9,Bs!$A$12:$A$48,Bs!$E$12:$E$48),LOOKUP(C9,Bs!$A$12:$A$48,Bs!$F$12:$F$48),LOOKUP(C9,Bs!$A$12:$A$48,Bs!$G$12:$G$48),LOOKUP(C9,Bs!$A$12:$A$48,Bs!$H$12:$H$48),LOOKUP(C9,Bs!$A$12:$A$48,Bs!$I$12:$I$48))</f>
        <v>0.52400000000000002</v>
      </c>
      <c r="F9" s="185"/>
      <c r="G9" s="185"/>
    </row>
    <row r="10" spans="1:7">
      <c r="A10" s="87"/>
      <c r="B10" s="185"/>
      <c r="C10" s="185">
        <v>168</v>
      </c>
      <c r="E10" s="306">
        <f>AVERAGE(LOOKUP(C10,Bs!$A$12:$A$48,Bs!$E$12:$E$48),LOOKUP(C10,Bs!$A$12:$A$48,Bs!$F$12:$F$48),LOOKUP(C10,Bs!$A$12:$A$48,Bs!$G$12:$G$48),LOOKUP(C10,Bs!$A$12:$A$48,Bs!$H$12:$H$48),LOOKUP(C10,Bs!$A$12:$A$48,Bs!$I$12:$I$48))</f>
        <v>0.5</v>
      </c>
      <c r="F10" s="185"/>
      <c r="G10" s="185"/>
    </row>
    <row r="11" spans="1:7">
      <c r="A11" s="87"/>
      <c r="B11" s="185"/>
      <c r="C11" s="185">
        <v>167</v>
      </c>
      <c r="E11" s="306">
        <f>AVERAGE(LOOKUP(C11,Bs!$A$12:$A$48,Bs!$E$12:$E$48),LOOKUP(C11,Bs!$A$12:$A$48,Bs!$F$12:$F$48),LOOKUP(C11,Bs!$A$12:$A$48,Bs!$G$12:$G$48),LOOKUP(C11,Bs!$A$12:$A$48,Bs!$H$12:$H$48),LOOKUP(C11,Bs!$A$12:$A$48,Bs!$I$12:$I$48))</f>
        <v>0.51</v>
      </c>
      <c r="F11" s="185"/>
      <c r="G11" s="185"/>
    </row>
    <row r="12" spans="1:7">
      <c r="A12" s="87"/>
      <c r="B12" s="185"/>
      <c r="C12" s="185">
        <v>166</v>
      </c>
      <c r="E12" s="306">
        <f>AVERAGE(LOOKUP(C12,Bs!$A$12:$A$48,Bs!$E$12:$E$48),LOOKUP(C12,Bs!$A$12:$A$48,Bs!$F$12:$F$48),LOOKUP(C12,Bs!$A$12:$A$48,Bs!$G$12:$G$48),LOOKUP(C12,Bs!$A$12:$A$48,Bs!$H$12:$H$48),LOOKUP(C12,Bs!$A$12:$A$48,Bs!$I$12:$I$48))</f>
        <v>0.51</v>
      </c>
      <c r="F12" s="185"/>
      <c r="G12" s="185"/>
    </row>
    <row r="13" spans="1:7">
      <c r="A13" s="87"/>
      <c r="B13" s="185" t="s">
        <v>111</v>
      </c>
      <c r="C13" s="185">
        <v>165</v>
      </c>
      <c r="E13" s="314">
        <f>AVERAGE(LOOKUP(C13,Bs!$A$12:$A$48,Bs!$E$12:$E$48),LOOKUP(C13,Bs!$A$12:$A$48,Bs!$F$12:$F$48),LOOKUP(C13,Bs!$A$12:$A$48,Bs!$G$12:$G$48),LOOKUP(C13,Bs!$A$12:$A$48,Bs!$H$12:$H$48),LOOKUP(C13,Bs!$A$12:$A$48,Bs!$I$12:$I$48))</f>
        <v>0.51</v>
      </c>
      <c r="F13" s="185"/>
      <c r="G13" s="185"/>
    </row>
    <row r="14" spans="1:7">
      <c r="A14" s="14" t="s">
        <v>131</v>
      </c>
      <c r="B14" s="303" t="s">
        <v>110</v>
      </c>
      <c r="C14" s="303">
        <v>188</v>
      </c>
      <c r="D14" s="303"/>
      <c r="E14" s="306">
        <f>AVERAGE(LOOKUP(C14,Bs!$A$12:$A$48,Bs!$E$12:$E$48),LOOKUP(C14,Bs!$A$12:$A$48,Bs!$F$12:$F$48),LOOKUP(C14,Bs!$A$12:$A$48,Bs!$G$12:$G$48),LOOKUP(C14,Bs!$A$12:$A$48,Bs!$H$12:$H$48),LOOKUP(C14,Bs!$A$12:$A$48,Bs!$I$12:$I$48))</f>
        <v>0.51</v>
      </c>
      <c r="F14" s="303">
        <f>SUM(E14:E25)+12*0.56896</f>
        <v>13.075520000000001</v>
      </c>
      <c r="G14" s="303">
        <v>13.01</v>
      </c>
    </row>
    <row r="15" spans="1:7">
      <c r="A15" s="87"/>
      <c r="B15" s="185"/>
      <c r="C15" s="185">
        <v>190</v>
      </c>
      <c r="E15" s="306">
        <f>AVERAGE(LOOKUP(C15,Bs!$A$12:$A$48,Bs!$E$12:$E$48),LOOKUP(C15,Bs!$A$12:$A$48,Bs!$F$12:$F$48),LOOKUP(C15,Bs!$A$12:$A$48,Bs!$G$12:$G$48),LOOKUP(C15,Bs!$A$12:$A$48,Bs!$H$12:$H$48),LOOKUP(C15,Bs!$A$12:$A$48,Bs!$I$12:$I$48))</f>
        <v>0.53</v>
      </c>
      <c r="F15" s="185"/>
      <c r="G15" s="185"/>
    </row>
    <row r="16" spans="1:7">
      <c r="A16" s="87"/>
      <c r="B16" s="185"/>
      <c r="C16" s="185">
        <v>189</v>
      </c>
      <c r="E16" s="306">
        <f>AVERAGE(LOOKUP(C16,Bs!$A$12:$A$48,Bs!$E$12:$E$48),LOOKUP(C16,Bs!$A$12:$A$48,Bs!$F$12:$F$48),LOOKUP(C16,Bs!$A$12:$A$48,Bs!$G$12:$G$48),LOOKUP(C16,Bs!$A$12:$A$48,Bs!$H$12:$H$48),LOOKUP(C16,Bs!$A$12:$A$48,Bs!$I$12:$I$48))</f>
        <v>0.52400000000000002</v>
      </c>
      <c r="F16" s="185"/>
      <c r="G16" s="185"/>
    </row>
    <row r="17" spans="1:7">
      <c r="A17" s="87"/>
      <c r="B17" s="185"/>
      <c r="C17" s="185">
        <v>187</v>
      </c>
      <c r="E17" s="306">
        <f>AVERAGE(LOOKUP(C17,Bs!$A$12:$A$48,Bs!$E$12:$E$48),LOOKUP(C17,Bs!$A$12:$A$48,Bs!$F$12:$F$48),LOOKUP(C17,Bs!$A$12:$A$48,Bs!$G$12:$G$48),LOOKUP(C17,Bs!$A$12:$A$48,Bs!$H$12:$H$48),LOOKUP(C17,Bs!$A$12:$A$48,Bs!$I$12:$I$48))</f>
        <v>0.53</v>
      </c>
      <c r="F17" s="185"/>
      <c r="G17" s="185"/>
    </row>
    <row r="18" spans="1:7">
      <c r="A18" s="87"/>
      <c r="B18" s="185"/>
      <c r="C18" s="185">
        <v>186</v>
      </c>
      <c r="E18" s="306">
        <f>AVERAGE(LOOKUP(C18,Bs!$A$12:$A$48,Bs!$E$12:$E$48),LOOKUP(C18,Bs!$A$12:$A$48,Bs!$F$12:$F$48),LOOKUP(C18,Bs!$A$12:$A$48,Bs!$G$12:$G$48),LOOKUP(C18,Bs!$A$12:$A$48,Bs!$H$12:$H$48),LOOKUP(C18,Bs!$A$12:$A$48,Bs!$I$12:$I$48))</f>
        <v>0.51800000000000002</v>
      </c>
      <c r="F18" s="185"/>
      <c r="G18" s="185"/>
    </row>
    <row r="19" spans="1:7">
      <c r="A19" s="87"/>
      <c r="B19" s="185"/>
      <c r="C19" s="185">
        <v>185</v>
      </c>
      <c r="E19" s="306">
        <f>AVERAGE(LOOKUP(C19,Bs!$A$12:$A$48,Bs!$E$12:$E$48),LOOKUP(C19,Bs!$A$12:$A$48,Bs!$F$12:$F$48),LOOKUP(C19,Bs!$A$12:$A$48,Bs!$G$12:$G$48),LOOKUP(C19,Bs!$A$12:$A$48,Bs!$H$12:$H$48),LOOKUP(C19,Bs!$A$12:$A$48,Bs!$I$12:$I$48))</f>
        <v>0.51600000000000001</v>
      </c>
      <c r="F19" s="185"/>
      <c r="G19" s="185"/>
    </row>
    <row r="20" spans="1:7">
      <c r="A20" s="87"/>
      <c r="B20" s="185"/>
      <c r="C20" s="185">
        <v>184</v>
      </c>
      <c r="E20" s="306">
        <f>AVERAGE(LOOKUP(C20,Bs!$A$12:$A$48,Bs!$E$12:$E$48),LOOKUP(C20,Bs!$A$12:$A$48,Bs!$F$12:$F$48),LOOKUP(C20,Bs!$A$12:$A$48,Bs!$G$12:$G$48),LOOKUP(C20,Bs!$A$12:$A$48,Bs!$H$12:$H$48),LOOKUP(C20,Bs!$A$12:$A$48,Bs!$I$12:$I$48))</f>
        <v>0.50800000000000001</v>
      </c>
      <c r="F20" s="185"/>
      <c r="G20" s="185"/>
    </row>
    <row r="21" spans="1:7">
      <c r="A21" s="87"/>
      <c r="B21" s="185"/>
      <c r="C21" s="185">
        <v>183</v>
      </c>
      <c r="D21" t="s">
        <v>128</v>
      </c>
      <c r="E21" s="306">
        <f>AVERAGE(LOOKUP(C21,Bs!$A$12:$A$48,Bs!$E$12:$E$48),LOOKUP(C21,Bs!$A$12:$A$48,Bs!$F$12:$F$48),LOOKUP(C21,Bs!$A$12:$A$48,Bs!$G$12:$G$48),LOOKUP(C21,Bs!$A$12:$A$48,Bs!$H$12:$H$48),LOOKUP(C21,Bs!$A$12:$A$48,Bs!$I$12:$I$48))</f>
        <v>0.51400000000000001</v>
      </c>
      <c r="F21" s="185"/>
      <c r="G21" s="185"/>
    </row>
    <row r="22" spans="1:7">
      <c r="A22" s="87"/>
      <c r="B22" s="185"/>
      <c r="C22" s="185">
        <v>182</v>
      </c>
      <c r="D22" t="s">
        <v>127</v>
      </c>
      <c r="E22" s="306">
        <f>AVERAGE(LOOKUP(C22,Bs!$A$12:$A$48,Bs!$E$12:$E$48),LOOKUP(C22,Bs!$A$12:$A$48,Bs!$F$12:$F$48),LOOKUP(C22,Bs!$A$12:$A$48,Bs!$G$12:$G$48),LOOKUP(C22,Bs!$A$12:$A$48,Bs!$H$12:$H$48),LOOKUP(C22,Bs!$A$12:$A$48,Bs!$I$12:$I$48))</f>
        <v>0.51400000000000001</v>
      </c>
      <c r="F22" s="185"/>
      <c r="G22" s="185"/>
    </row>
    <row r="23" spans="1:7">
      <c r="A23" s="87"/>
      <c r="B23" s="185"/>
      <c r="C23" s="185">
        <v>181</v>
      </c>
      <c r="E23" s="306">
        <f>AVERAGE(LOOKUP(C23,Bs!$A$12:$A$48,Bs!$E$12:$E$48),LOOKUP(C23,Bs!$A$12:$A$48,Bs!$F$12:$F$48),LOOKUP(C23,Bs!$A$12:$A$48,Bs!$G$12:$G$48),LOOKUP(C23,Bs!$A$12:$A$48,Bs!$H$12:$H$48),LOOKUP(C23,Bs!$A$12:$A$48,Bs!$I$12:$I$48))</f>
        <v>0.53</v>
      </c>
      <c r="F23" s="185"/>
      <c r="G23" s="185"/>
    </row>
    <row r="24" spans="1:7">
      <c r="A24" s="87"/>
      <c r="B24" s="185"/>
      <c r="C24" s="185">
        <v>180</v>
      </c>
      <c r="E24" s="306">
        <f>AVERAGE(LOOKUP(C24,Bs!$A$12:$A$48,Bs!$E$12:$E$48),LOOKUP(C24,Bs!$A$12:$A$48,Bs!$F$12:$F$48),LOOKUP(C24,Bs!$A$12:$A$48,Bs!$G$12:$G$48),LOOKUP(C24,Bs!$A$12:$A$48,Bs!$H$12:$H$48),LOOKUP(C24,Bs!$A$12:$A$48,Bs!$I$12:$I$48))</f>
        <v>0.53</v>
      </c>
      <c r="F24" s="185"/>
      <c r="G24" s="185"/>
    </row>
    <row r="25" spans="1:7">
      <c r="A25" s="103"/>
      <c r="B25" s="253" t="s">
        <v>111</v>
      </c>
      <c r="C25" s="253">
        <v>179</v>
      </c>
      <c r="D25" s="103"/>
      <c r="E25" s="314">
        <f>AVERAGE(LOOKUP(C25,Bs!$A$12:$A$48,Bs!$E$12:$E$48),LOOKUP(C25,Bs!$A$12:$A$48,Bs!$F$12:$F$48),LOOKUP(C25,Bs!$A$12:$A$48,Bs!$G$12:$G$48),LOOKUP(C25,Bs!$A$12:$A$48,Bs!$H$12:$H$48),LOOKUP(C25,Bs!$A$12:$A$48,Bs!$I$12:$I$48))</f>
        <v>0.52400000000000002</v>
      </c>
      <c r="F25" s="253"/>
      <c r="G25" s="253"/>
    </row>
  </sheetData>
  <phoneticPr fontId="16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workbookViewId="0">
      <selection activeCell="B1" sqref="B1"/>
    </sheetView>
  </sheetViews>
  <sheetFormatPr baseColWidth="10" defaultRowHeight="14" x14ac:dyDescent="0"/>
  <cols>
    <col min="1" max="1" width="16.6640625" customWidth="1"/>
    <col min="2" max="2" width="11.33203125" customWidth="1"/>
    <col min="4" max="4" width="17.33203125" customWidth="1"/>
    <col min="5" max="5" width="24.5" customWidth="1"/>
    <col min="6" max="6" width="38" customWidth="1"/>
    <col min="7" max="7" width="36.1640625" customWidth="1"/>
  </cols>
  <sheetData>
    <row r="1" spans="1:7" ht="23">
      <c r="A1" s="304" t="s">
        <v>106</v>
      </c>
      <c r="B1" s="304" t="s">
        <v>108</v>
      </c>
      <c r="C1" s="304" t="s">
        <v>125</v>
      </c>
      <c r="D1" s="309" t="s">
        <v>126</v>
      </c>
      <c r="E1" s="304" t="s">
        <v>115</v>
      </c>
      <c r="F1" s="304" t="s">
        <v>117</v>
      </c>
      <c r="G1" s="304" t="s">
        <v>118</v>
      </c>
    </row>
    <row r="2" spans="1:7">
      <c r="A2" s="87" t="s">
        <v>133</v>
      </c>
      <c r="B2" s="185" t="s">
        <v>110</v>
      </c>
      <c r="C2" s="185">
        <v>87</v>
      </c>
      <c r="D2" s="303"/>
      <c r="E2" s="306">
        <f>AVERAGE(LOOKUP(C2,B!$A$12:$A$165,B!$E$12:$E$165),LOOKUP(C2,B!$A$12:$A$165,B!$F$12:$F$165),LOOKUP(C2,B!$A$12:$A$165,B!$G$12:$G$165),LOOKUP(C2,B!$A$12:$A$165,B!$H$12:$H$165),LOOKUP(C2,B!$A$12:$A$165,B!$I$12:$I$165))</f>
        <v>0.496</v>
      </c>
      <c r="F2" s="185">
        <f>SUM(E2:E12)+11*0.68072</f>
        <v>12.945920000000001</v>
      </c>
      <c r="G2" s="185">
        <v>13.05</v>
      </c>
    </row>
    <row r="3" spans="1:7">
      <c r="A3" s="87"/>
      <c r="B3" s="185"/>
      <c r="C3" s="185">
        <v>86</v>
      </c>
      <c r="E3" s="306">
        <f>AVERAGE(LOOKUP(C3,B!$A$12:$A$165,B!$E$12:$E$165),LOOKUP(C3,B!$A$12:$A$165,B!$F$12:$F$165),LOOKUP(C3,B!$A$12:$A$165,B!$G$12:$G$165),LOOKUP(C3,B!$A$12:$A$165,B!$H$12:$H$165),LOOKUP(C3,B!$A$12:$A$165,B!$I$12:$I$165))</f>
        <v>0.48200000000000004</v>
      </c>
      <c r="F3" s="185"/>
      <c r="G3" s="185"/>
    </row>
    <row r="4" spans="1:7">
      <c r="A4" s="87"/>
      <c r="B4" s="185"/>
      <c r="C4" s="185">
        <v>85</v>
      </c>
      <c r="E4" s="306">
        <f>AVERAGE(LOOKUP(C4,B!$A$12:$A$165,B!$E$12:$E$165),LOOKUP(C4,B!$A$12:$A$165,B!$F$12:$F$165),LOOKUP(C4,B!$A$12:$A$165,B!$G$12:$G$165),LOOKUP(C4,B!$A$12:$A$165,B!$H$12:$H$165),LOOKUP(C4,B!$A$12:$A$165,B!$I$12:$I$165))</f>
        <v>0.50600000000000001</v>
      </c>
      <c r="F4" s="185"/>
      <c r="G4" s="185"/>
    </row>
    <row r="5" spans="1:7">
      <c r="A5" s="87"/>
      <c r="B5" s="185"/>
      <c r="C5" s="185">
        <v>84</v>
      </c>
      <c r="E5" s="306">
        <f>AVERAGE(LOOKUP(C5,B!$A$12:$A$165,B!$E$12:$E$165),LOOKUP(C5,B!$A$12:$A$165,B!$F$12:$F$165),LOOKUP(C5,B!$A$12:$A$165,B!$G$12:$G$165),LOOKUP(C5,B!$A$12:$A$165,B!$H$12:$H$165),LOOKUP(C5,B!$A$12:$A$165,B!$I$12:$I$165))</f>
        <v>0.49000000000000005</v>
      </c>
      <c r="F5" s="185"/>
      <c r="G5" s="185"/>
    </row>
    <row r="6" spans="1:7">
      <c r="A6" s="87"/>
      <c r="B6" s="185"/>
      <c r="C6" s="185">
        <v>83</v>
      </c>
      <c r="E6" s="306">
        <f>AVERAGE(LOOKUP(C6,B!$A$12:$A$165,B!$E$12:$E$165),LOOKUP(C6,B!$A$12:$A$165,B!$F$12:$F$165),LOOKUP(C6,B!$A$12:$A$165,B!$G$12:$G$165),LOOKUP(C6,B!$A$12:$A$165,B!$H$12:$H$165),LOOKUP(C6,B!$A$12:$A$165,B!$I$12:$I$165))</f>
        <v>0.50800000000000001</v>
      </c>
      <c r="F6" s="185"/>
      <c r="G6" s="185"/>
    </row>
    <row r="7" spans="1:7">
      <c r="A7" s="87"/>
      <c r="B7" s="185"/>
      <c r="C7" s="185">
        <v>82</v>
      </c>
      <c r="E7" s="306">
        <f>AVERAGE(LOOKUP(C7,B!$A$12:$A$165,B!$E$12:$E$165),LOOKUP(C7,B!$A$12:$A$165,B!$F$12:$F$165),LOOKUP(C7,B!$A$12:$A$165,B!$G$12:$G$165),LOOKUP(C7,B!$A$12:$A$165,B!$H$12:$H$165),LOOKUP(C7,B!$A$12:$A$165,B!$I$12:$I$165))</f>
        <v>0.504</v>
      </c>
      <c r="F7" s="185"/>
      <c r="G7" s="185"/>
    </row>
    <row r="8" spans="1:7">
      <c r="A8" s="87"/>
      <c r="B8" s="185"/>
      <c r="C8" s="185">
        <v>81</v>
      </c>
      <c r="E8" s="306">
        <f>AVERAGE(LOOKUP(C8,B!$A$12:$A$165,B!$E$12:$E$165),LOOKUP(C8,B!$A$12:$A$165,B!$F$12:$F$165),LOOKUP(C8,B!$A$12:$A$165,B!$G$12:$G$165),LOOKUP(C8,B!$A$12:$A$165,B!$H$12:$H$165),LOOKUP(C8,B!$A$12:$A$165,B!$I$12:$I$165))</f>
        <v>0.49800000000000005</v>
      </c>
      <c r="F8" s="185"/>
      <c r="G8" s="185"/>
    </row>
    <row r="9" spans="1:7">
      <c r="A9" s="87"/>
      <c r="B9" s="185"/>
      <c r="C9" s="185">
        <v>80</v>
      </c>
      <c r="E9" s="306">
        <f>AVERAGE(LOOKUP(C9,B!$A$12:$A$165,B!$E$12:$E$165),LOOKUP(C9,B!$A$12:$A$165,B!$F$12:$F$165),LOOKUP(C9,B!$A$12:$A$165,B!$G$12:$G$165),LOOKUP(C9,B!$A$12:$A$165,B!$H$12:$H$165),LOOKUP(C9,B!$A$12:$A$165,B!$I$12:$I$165))</f>
        <v>0.49800000000000005</v>
      </c>
      <c r="F9" s="185"/>
      <c r="G9" s="185"/>
    </row>
    <row r="10" spans="1:7">
      <c r="A10" s="87"/>
      <c r="B10" s="185"/>
      <c r="C10" s="185">
        <v>79</v>
      </c>
      <c r="E10" s="306">
        <f>AVERAGE(LOOKUP(C10,B!$A$12:$A$165,B!$E$12:$E$165),LOOKUP(C10,B!$A$12:$A$165,B!$F$12:$F$165),LOOKUP(C10,B!$A$12:$A$165,B!$G$12:$G$165),LOOKUP(C10,B!$A$12:$A$165,B!$H$12:$H$165),LOOKUP(C10,B!$A$12:$A$165,B!$I$12:$I$165))</f>
        <v>0.47599999999999998</v>
      </c>
      <c r="F10" s="185"/>
      <c r="G10" s="185"/>
    </row>
    <row r="11" spans="1:7">
      <c r="A11" s="87"/>
      <c r="B11" s="185"/>
      <c r="C11" s="185">
        <v>78</v>
      </c>
      <c r="E11" s="306">
        <f>AVERAGE(LOOKUP(C11,B!$A$12:$A$165,B!$E$12:$E$165),LOOKUP(C11,B!$A$12:$A$165,B!$F$12:$F$165),LOOKUP(C11,B!$A$12:$A$165,B!$G$12:$G$165),LOOKUP(C11,B!$A$12:$A$165,B!$H$12:$H$165),LOOKUP(C11,B!$A$12:$A$165,B!$I$12:$I$165))</f>
        <v>0.5</v>
      </c>
      <c r="F11" s="185"/>
      <c r="G11" s="185"/>
    </row>
    <row r="12" spans="1:7">
      <c r="A12" s="87"/>
      <c r="B12" s="185" t="s">
        <v>111</v>
      </c>
      <c r="C12" s="185">
        <v>77</v>
      </c>
      <c r="E12" s="314">
        <f>AVERAGE(LOOKUP(C12,B!$A$12:$A$165,B!$E$12:$E$165),LOOKUP(C12,B!$A$12:$A$165,B!$F$12:$F$165),LOOKUP(C12,B!$A$12:$A$165,B!$G$12:$G$165),LOOKUP(C12,B!$A$12:$A$165,B!$H$12:$H$165),LOOKUP(C12,B!$A$12:$A$165,B!$I$12:$I$165))</f>
        <v>0.5</v>
      </c>
      <c r="F12" s="185"/>
      <c r="G12" s="185"/>
    </row>
    <row r="13" spans="1:7">
      <c r="A13" s="14" t="s">
        <v>134</v>
      </c>
      <c r="B13" s="303" t="s">
        <v>110</v>
      </c>
      <c r="C13" s="303">
        <v>98</v>
      </c>
      <c r="D13" s="303" t="s">
        <v>127</v>
      </c>
      <c r="E13" s="306">
        <f>AVERAGE(LOOKUP(C13,B!$A$12:$A$165,B!$E$12:$E$165),LOOKUP(C13,B!$A$12:$A$165,B!$F$12:$F$165),LOOKUP(C13,B!$A$12:$A$165,B!$G$12:$G$165),LOOKUP(C13,B!$A$12:$A$165,B!$H$12:$H$165),LOOKUP(C13,B!$A$12:$A$165,B!$I$12:$I$165))</f>
        <v>0.50600000000000001</v>
      </c>
      <c r="F13" s="303">
        <f>SUM(E13:E23)+11*0.68072</f>
        <v>13.009920000000001</v>
      </c>
      <c r="G13" s="303">
        <v>13.1</v>
      </c>
    </row>
    <row r="14" spans="1:7">
      <c r="A14" s="87"/>
      <c r="B14" s="185"/>
      <c r="C14" s="185">
        <v>97</v>
      </c>
      <c r="D14" t="s">
        <v>127</v>
      </c>
      <c r="E14" s="306">
        <f>AVERAGE(LOOKUP(C14,B!$A$12:$A$165,B!$E$12:$E$165),LOOKUP(C14,B!$A$12:$A$165,B!$F$12:$F$165),LOOKUP(C14,B!$A$12:$A$165,B!$G$12:$G$165),LOOKUP(C14,B!$A$12:$A$165,B!$H$12:$H$165),LOOKUP(C14,B!$A$12:$A$165,B!$I$12:$I$165))</f>
        <v>0.50800000000000001</v>
      </c>
      <c r="F14" s="185"/>
      <c r="G14" s="185"/>
    </row>
    <row r="15" spans="1:7">
      <c r="A15" s="87"/>
      <c r="B15" s="185"/>
      <c r="C15" s="185">
        <v>96</v>
      </c>
      <c r="E15" s="306">
        <f>AVERAGE(LOOKUP(C15,B!$A$12:$A$165,B!$E$12:$E$165),LOOKUP(C15,B!$A$12:$A$165,B!$F$12:$F$165),LOOKUP(C15,B!$A$12:$A$165,B!$G$12:$G$165),LOOKUP(C15,B!$A$12:$A$165,B!$H$12:$H$165),LOOKUP(C15,B!$A$12:$A$165,B!$I$12:$I$165))</f>
        <v>0.51</v>
      </c>
      <c r="F15" s="185"/>
      <c r="G15" s="185"/>
    </row>
    <row r="16" spans="1:7">
      <c r="A16" s="87"/>
      <c r="B16" s="185"/>
      <c r="C16" s="185">
        <v>95</v>
      </c>
      <c r="E16" s="306">
        <f>AVERAGE(LOOKUP(C16,B!$A$12:$A$165,B!$E$12:$E$165),LOOKUP(C16,B!$A$12:$A$165,B!$F$12:$F$165),LOOKUP(C16,B!$A$12:$A$165,B!$G$12:$G$165),LOOKUP(C16,B!$A$12:$A$165,B!$H$12:$H$165),LOOKUP(C16,B!$A$12:$A$165,B!$I$12:$I$165))</f>
        <v>0.51</v>
      </c>
      <c r="F16" s="185"/>
      <c r="G16" s="185"/>
    </row>
    <row r="17" spans="1:7">
      <c r="A17" s="87"/>
      <c r="B17" s="185"/>
      <c r="C17" s="185">
        <v>94</v>
      </c>
      <c r="E17" s="306">
        <f>AVERAGE(LOOKUP(C17,B!$A$12:$A$165,B!$E$12:$E$165),LOOKUP(C17,B!$A$12:$A$165,B!$F$12:$F$165),LOOKUP(C17,B!$A$12:$A$165,B!$G$12:$G$165),LOOKUP(C17,B!$A$12:$A$165,B!$H$12:$H$165),LOOKUP(C17,B!$A$12:$A$165,B!$I$12:$I$165))</f>
        <v>0.51</v>
      </c>
      <c r="F17" s="185"/>
      <c r="G17" s="185"/>
    </row>
    <row r="18" spans="1:7">
      <c r="A18" s="87"/>
      <c r="B18" s="185"/>
      <c r="C18" s="185">
        <v>93</v>
      </c>
      <c r="E18" s="306">
        <f>AVERAGE(LOOKUP(C18,B!$A$12:$A$165,B!$E$12:$E$165),LOOKUP(C18,B!$A$12:$A$165,B!$F$12:$F$165),LOOKUP(C18,B!$A$12:$A$165,B!$G$12:$G$165),LOOKUP(C18,B!$A$12:$A$165,B!$H$12:$H$165),LOOKUP(C18,B!$A$12:$A$165,B!$I$12:$I$165))</f>
        <v>0.50600000000000001</v>
      </c>
      <c r="F18" s="185"/>
      <c r="G18" s="185"/>
    </row>
    <row r="19" spans="1:7">
      <c r="A19" s="87"/>
      <c r="B19" s="185"/>
      <c r="C19" s="185">
        <v>92</v>
      </c>
      <c r="E19" s="306">
        <f>AVERAGE(LOOKUP(C19,B!$A$12:$A$165,B!$E$12:$E$165),LOOKUP(C19,B!$A$12:$A$165,B!$F$12:$F$165),LOOKUP(C19,B!$A$12:$A$165,B!$G$12:$G$165),LOOKUP(C19,B!$A$12:$A$165,B!$H$12:$H$165),LOOKUP(C19,B!$A$12:$A$165,B!$I$12:$I$165))</f>
        <v>0.49800000000000005</v>
      </c>
      <c r="F19" s="185"/>
      <c r="G19" s="185"/>
    </row>
    <row r="20" spans="1:7">
      <c r="A20" s="87"/>
      <c r="B20" s="185"/>
      <c r="C20" s="185">
        <v>91</v>
      </c>
      <c r="E20" s="306">
        <f>AVERAGE(LOOKUP(C20,B!$A$12:$A$165,B!$E$12:$E$165),LOOKUP(C20,B!$A$12:$A$165,B!$F$12:$F$165),LOOKUP(C20,B!$A$12:$A$165,B!$G$12:$G$165),LOOKUP(C20,B!$A$12:$A$165,B!$H$12:$H$165),LOOKUP(C20,B!$A$12:$A$165,B!$I$12:$I$165))</f>
        <v>0.49000000000000005</v>
      </c>
      <c r="F20" s="185"/>
      <c r="G20" s="185"/>
    </row>
    <row r="21" spans="1:7">
      <c r="A21" s="87"/>
      <c r="B21" s="185"/>
      <c r="C21" s="185">
        <v>90</v>
      </c>
      <c r="E21" s="306">
        <f>AVERAGE(LOOKUP(C21,B!$A$12:$A$165,B!$E$12:$E$165),LOOKUP(C21,B!$A$12:$A$165,B!$F$12:$F$165),LOOKUP(C21,B!$A$12:$A$165,B!$G$12:$G$165),LOOKUP(C21,B!$A$12:$A$165,B!$H$12:$H$165),LOOKUP(C21,B!$A$12:$A$165,B!$I$12:$I$165))</f>
        <v>0.48799999999999999</v>
      </c>
      <c r="F21" s="185"/>
      <c r="G21" s="185"/>
    </row>
    <row r="22" spans="1:7">
      <c r="A22" s="87"/>
      <c r="B22" s="185"/>
      <c r="C22" s="185">
        <v>89</v>
      </c>
      <c r="E22" s="306">
        <f>AVERAGE(LOOKUP(C22,B!$A$12:$A$165,B!$E$12:$E$165),LOOKUP(C22,B!$A$12:$A$165,B!$F$12:$F$165),LOOKUP(C22,B!$A$12:$A$165,B!$G$12:$G$165),LOOKUP(C22,B!$A$12:$A$165,B!$H$12:$H$165),LOOKUP(C22,B!$A$12:$A$165,B!$I$12:$I$165))</f>
        <v>0.50600000000000001</v>
      </c>
      <c r="F22" s="185"/>
      <c r="G22" s="185"/>
    </row>
    <row r="23" spans="1:7">
      <c r="A23" s="87"/>
      <c r="B23" s="185" t="s">
        <v>111</v>
      </c>
      <c r="C23" s="185">
        <v>88</v>
      </c>
      <c r="E23" s="314">
        <f>AVERAGE(LOOKUP(C23,B!$A$12:$A$165,B!$E$12:$E$165),LOOKUP(C23,B!$A$12:$A$165,B!$F$12:$F$165),LOOKUP(C23,B!$A$12:$A$165,B!$G$12:$G$165),LOOKUP(C23,B!$A$12:$A$165,B!$H$12:$H$165),LOOKUP(C23,B!$A$12:$A$165,B!$I$12:$I$165))</f>
        <v>0.49000000000000005</v>
      </c>
      <c r="F23" s="185"/>
      <c r="G23" s="185"/>
    </row>
    <row r="24" spans="1:7">
      <c r="A24" s="14" t="s">
        <v>135</v>
      </c>
      <c r="B24" s="303" t="s">
        <v>110</v>
      </c>
      <c r="C24" s="303">
        <v>109</v>
      </c>
      <c r="D24" s="303"/>
      <c r="E24" s="306">
        <f>AVERAGE(LOOKUP(C24,B!$A$12:$A$165,B!$E$12:$E$165),LOOKUP(C24,B!$A$12:$A$165,B!$F$12:$F$165),LOOKUP(C24,B!$A$12:$A$165,B!$G$12:$G$165),LOOKUP(C24,B!$A$12:$A$165,B!$H$12:$H$165),LOOKUP(C24,B!$A$12:$A$165,B!$I$12:$I$165))</f>
        <v>0.5</v>
      </c>
      <c r="F24" s="303">
        <f>SUM(E24:E34)+11*0.68072</f>
        <v>12.983919999999998</v>
      </c>
      <c r="G24" s="303">
        <v>13.08</v>
      </c>
    </row>
    <row r="25" spans="1:7">
      <c r="A25" s="87"/>
      <c r="B25" s="185"/>
      <c r="C25" s="185">
        <v>108</v>
      </c>
      <c r="E25" s="306">
        <f>AVERAGE(LOOKUP(C25,B!$A$12:$A$165,B!$E$12:$E$165),LOOKUP(C25,B!$A$12:$A$165,B!$F$12:$F$165),LOOKUP(C25,B!$A$12:$A$165,B!$G$12:$G$165),LOOKUP(C25,B!$A$12:$A$165,B!$H$12:$H$165),LOOKUP(C25,B!$A$12:$A$165,B!$I$12:$I$165))</f>
        <v>0.49399999999999994</v>
      </c>
      <c r="F25" s="185"/>
      <c r="G25" s="185"/>
    </row>
    <row r="26" spans="1:7">
      <c r="A26" s="87"/>
      <c r="B26" s="185"/>
      <c r="C26" s="185">
        <v>107</v>
      </c>
      <c r="E26" s="306">
        <f>AVERAGE(LOOKUP(C26,B!$A$12:$A$165,B!$E$12:$E$165),LOOKUP(C26,B!$A$12:$A$165,B!$F$12:$F$165),LOOKUP(C26,B!$A$12:$A$165,B!$G$12:$G$165),LOOKUP(C26,B!$A$12:$A$165,B!$H$12:$H$165),LOOKUP(C26,B!$A$12:$A$165,B!$I$12:$I$165))</f>
        <v>0.51</v>
      </c>
      <c r="F26" s="185"/>
      <c r="G26" s="185"/>
    </row>
    <row r="27" spans="1:7">
      <c r="A27" s="87"/>
      <c r="B27" s="185"/>
      <c r="C27" s="185">
        <v>106</v>
      </c>
      <c r="E27" s="306">
        <f>AVERAGE(LOOKUP(C27,B!$A$12:$A$165,B!$E$12:$E$165),LOOKUP(C27,B!$A$12:$A$165,B!$F$12:$F$165),LOOKUP(C27,B!$A$12:$A$165,B!$G$12:$G$165),LOOKUP(C27,B!$A$12:$A$165,B!$H$12:$H$165),LOOKUP(C27,B!$A$12:$A$165,B!$I$12:$I$165))</f>
        <v>0.502</v>
      </c>
      <c r="F27" s="185"/>
      <c r="G27" s="185"/>
    </row>
    <row r="28" spans="1:7">
      <c r="A28" s="87"/>
      <c r="B28" s="185"/>
      <c r="C28" s="185">
        <v>105</v>
      </c>
      <c r="E28" s="306">
        <f>AVERAGE(LOOKUP(C28,B!$A$12:$A$165,B!$E$12:$E$165),LOOKUP(C28,B!$A$12:$A$165,B!$F$12:$F$165),LOOKUP(C28,B!$A$12:$A$165,B!$G$12:$G$165),LOOKUP(C28,B!$A$12:$A$165,B!$H$12:$H$165),LOOKUP(C28,B!$A$12:$A$165,B!$I$12:$I$165))</f>
        <v>0.5</v>
      </c>
      <c r="F28" s="185"/>
      <c r="G28" s="185"/>
    </row>
    <row r="29" spans="1:7">
      <c r="A29" s="87"/>
      <c r="B29" s="185"/>
      <c r="C29" s="185">
        <v>104</v>
      </c>
      <c r="E29" s="306">
        <f>AVERAGE(LOOKUP(C29,B!$A$12:$A$165,B!$E$12:$E$165),LOOKUP(C29,B!$A$12:$A$165,B!$F$12:$F$165),LOOKUP(C29,B!$A$12:$A$165,B!$G$12:$G$165),LOOKUP(C29,B!$A$12:$A$165,B!$H$12:$H$165),LOOKUP(C29,B!$A$12:$A$165,B!$I$12:$I$165))</f>
        <v>0.502</v>
      </c>
      <c r="F29" s="185"/>
      <c r="G29" s="185"/>
    </row>
    <row r="30" spans="1:7">
      <c r="A30" s="87"/>
      <c r="B30" s="185"/>
      <c r="C30" s="185">
        <v>103</v>
      </c>
      <c r="E30" s="306">
        <f>AVERAGE(LOOKUP(C30,B!$A$12:$A$165,B!$E$12:$E$165),LOOKUP(C30,B!$A$12:$A$165,B!$F$12:$F$165),LOOKUP(C30,B!$A$12:$A$165,B!$G$12:$G$165),LOOKUP(C30,B!$A$12:$A$165,B!$H$12:$H$165),LOOKUP(C30,B!$A$12:$A$165,B!$I$12:$I$165))</f>
        <v>0.502</v>
      </c>
      <c r="F30" s="185"/>
      <c r="G30" s="185"/>
    </row>
    <row r="31" spans="1:7">
      <c r="A31" s="87"/>
      <c r="B31" s="185"/>
      <c r="C31" s="185">
        <v>102</v>
      </c>
      <c r="E31" s="306">
        <f>AVERAGE(LOOKUP(C31,B!$A$12:$A$165,B!$E$12:$E$165),LOOKUP(C31,B!$A$12:$A$165,B!$F$12:$F$165),LOOKUP(C31,B!$A$12:$A$165,B!$G$12:$G$165),LOOKUP(C31,B!$A$12:$A$165,B!$H$12:$H$165),LOOKUP(C31,B!$A$12:$A$165,B!$I$12:$I$165))</f>
        <v>0.48599999999999993</v>
      </c>
      <c r="F31" s="185"/>
      <c r="G31" s="185"/>
    </row>
    <row r="32" spans="1:7">
      <c r="A32" s="87"/>
      <c r="B32" s="185"/>
      <c r="C32" s="185">
        <v>101</v>
      </c>
      <c r="E32" s="306">
        <f>AVERAGE(LOOKUP(C32,B!$A$12:$A$165,B!$E$12:$E$165),LOOKUP(C32,B!$A$12:$A$165,B!$F$12:$F$165),LOOKUP(C32,B!$A$12:$A$165,B!$G$12:$G$165),LOOKUP(C32,B!$A$12:$A$165,B!$H$12:$H$165),LOOKUP(C32,B!$A$12:$A$165,B!$I$12:$I$165))</f>
        <v>0.5119999999999999</v>
      </c>
      <c r="F32" s="185"/>
      <c r="G32" s="185"/>
    </row>
    <row r="33" spans="1:7">
      <c r="A33" s="87"/>
      <c r="B33" s="185"/>
      <c r="C33" s="185">
        <v>100</v>
      </c>
      <c r="E33" s="306">
        <f>AVERAGE(LOOKUP(C33,B!$A$12:$A$165,B!$E$12:$E$165),LOOKUP(C33,B!$A$12:$A$165,B!$F$12:$F$165),LOOKUP(C33,B!$A$12:$A$165,B!$G$12:$G$165),LOOKUP(C33,B!$A$12:$A$165,B!$H$12:$H$165),LOOKUP(C33,B!$A$12:$A$165,B!$I$12:$I$165))</f>
        <v>0.48599999999999993</v>
      </c>
      <c r="F33" s="185"/>
      <c r="G33" s="185"/>
    </row>
    <row r="34" spans="1:7">
      <c r="A34" s="87"/>
      <c r="B34" s="185" t="s">
        <v>111</v>
      </c>
      <c r="C34" s="185">
        <v>99</v>
      </c>
      <c r="E34" s="314">
        <f>AVERAGE(LOOKUP(C34,B!$A$12:$A$165,B!$E$12:$E$165),LOOKUP(C34,B!$A$12:$A$165,B!$F$12:$F$165),LOOKUP(C34,B!$A$12:$A$165,B!$G$12:$G$165),LOOKUP(C34,B!$A$12:$A$165,B!$H$12:$H$165),LOOKUP(C34,B!$A$12:$A$165,B!$I$12:$I$165))</f>
        <v>0.502</v>
      </c>
      <c r="F34" s="185"/>
      <c r="G34" s="185"/>
    </row>
    <row r="35" spans="1:7">
      <c r="A35" s="14" t="s">
        <v>136</v>
      </c>
      <c r="B35" s="303" t="s">
        <v>110</v>
      </c>
      <c r="C35" s="303">
        <v>120</v>
      </c>
      <c r="D35" s="303"/>
      <c r="E35" s="306">
        <f>AVERAGE(LOOKUP(C35,B!$A$12:$A$165,B!$E$12:$E$165),LOOKUP(C35,B!$A$12:$A$165,B!$F$12:$F$165),LOOKUP(C35,B!$A$12:$A$165,B!$G$12:$G$165),LOOKUP(C35,B!$A$12:$A$165,B!$H$12:$H$165),LOOKUP(C35,B!$A$12:$A$165,B!$I$12:$I$165))</f>
        <v>0.49800000000000005</v>
      </c>
      <c r="F35" s="303">
        <f>SUM(E35:E46)+11*0.68072</f>
        <v>12.955919999999999</v>
      </c>
      <c r="G35" s="303">
        <v>13.05</v>
      </c>
    </row>
    <row r="36" spans="1:7">
      <c r="A36" s="87"/>
      <c r="B36" s="185"/>
      <c r="C36" s="185">
        <v>119</v>
      </c>
      <c r="E36" s="306">
        <f>AVERAGE(LOOKUP(C36,B!$A$12:$A$165,B!$E$12:$E$165),LOOKUP(C36,B!$A$12:$A$165,B!$F$12:$F$165),LOOKUP(C36,B!$A$12:$A$165,B!$G$12:$G$165),LOOKUP(C36,B!$A$12:$A$165,B!$H$12:$H$165),LOOKUP(C36,B!$A$12:$A$165,B!$I$12:$I$165))</f>
        <v>0.50600000000000001</v>
      </c>
      <c r="F36" s="185"/>
      <c r="G36" s="185"/>
    </row>
    <row r="37" spans="1:7">
      <c r="A37" s="87"/>
      <c r="B37" s="185"/>
      <c r="C37" s="185">
        <v>118</v>
      </c>
      <c r="E37" s="306">
        <f>AVERAGE(LOOKUP(C37,B!$A$12:$A$165,B!$E$12:$E$165),LOOKUP(C37,B!$A$12:$A$165,B!$F$12:$F$165),LOOKUP(C37,B!$A$12:$A$165,B!$G$12:$G$165),LOOKUP(C37,B!$A$12:$A$165,B!$H$12:$H$165),LOOKUP(C37,B!$A$12:$A$165,B!$I$12:$I$165))</f>
        <v>0.49000000000000005</v>
      </c>
      <c r="F37" s="185"/>
      <c r="G37" s="185"/>
    </row>
    <row r="38" spans="1:7">
      <c r="A38" s="87"/>
      <c r="B38" s="185"/>
      <c r="C38" s="185">
        <v>117</v>
      </c>
      <c r="E38" s="306">
        <f>AVERAGE(LOOKUP(C38,B!$A$12:$A$165,B!$E$12:$E$165),LOOKUP(C38,B!$A$12:$A$165,B!$F$12:$F$165),LOOKUP(C38,B!$A$12:$A$165,B!$G$12:$G$165),LOOKUP(C38,B!$A$12:$A$165,B!$H$12:$H$165),LOOKUP(C38,B!$A$12:$A$165,B!$I$12:$I$165))</f>
        <v>0.49000000000000005</v>
      </c>
      <c r="F38" s="185"/>
      <c r="G38" s="185"/>
    </row>
    <row r="39" spans="1:7">
      <c r="A39" s="87"/>
      <c r="B39" s="185"/>
      <c r="C39" s="185">
        <v>116</v>
      </c>
      <c r="E39" s="306">
        <f>AVERAGE(LOOKUP(C39,B!$A$12:$A$165,B!$E$12:$E$165),LOOKUP(C39,B!$A$12:$A$165,B!$F$12:$F$165),LOOKUP(C39,B!$A$12:$A$165,B!$G$12:$G$165),LOOKUP(C39,B!$A$12:$A$165,B!$H$12:$H$165),LOOKUP(C39,B!$A$12:$A$165,B!$I$12:$I$165))</f>
        <v>0.5</v>
      </c>
      <c r="F39" s="185"/>
      <c r="G39" s="185"/>
    </row>
    <row r="40" spans="1:7">
      <c r="A40" s="87"/>
      <c r="B40" s="185"/>
      <c r="C40" s="185">
        <v>115</v>
      </c>
      <c r="E40" s="306">
        <f>AVERAGE(LOOKUP(C40,B!$A$12:$A$165,B!$E$12:$E$165),LOOKUP(C40,B!$A$12:$A$165,B!$F$12:$F$165),LOOKUP(C40,B!$A$12:$A$165,B!$G$12:$G$165),LOOKUP(C40,B!$A$12:$A$165,B!$H$12:$H$165),LOOKUP(C40,B!$A$12:$A$165,B!$I$12:$I$165))</f>
        <v>0.49399999999999994</v>
      </c>
      <c r="F40" s="185"/>
      <c r="G40" s="185"/>
    </row>
    <row r="41" spans="1:7">
      <c r="A41" s="87"/>
      <c r="B41" s="185"/>
      <c r="C41" s="185">
        <v>114</v>
      </c>
      <c r="E41" s="306">
        <f>AVERAGE(LOOKUP(C41,B!$A$12:$A$165,B!$E$12:$E$165),LOOKUP(C41,B!$A$12:$A$165,B!$F$12:$F$165),LOOKUP(C41,B!$A$12:$A$165,B!$G$12:$G$165),LOOKUP(C41,B!$A$12:$A$165,B!$H$12:$H$165),LOOKUP(C41,B!$A$12:$A$165,B!$I$12:$I$165))</f>
        <v>0.49000000000000005</v>
      </c>
      <c r="F41" s="185"/>
      <c r="G41" s="185"/>
    </row>
    <row r="42" spans="1:7">
      <c r="A42" s="87"/>
      <c r="B42" s="185"/>
      <c r="C42" s="185">
        <v>113</v>
      </c>
      <c r="E42" s="306">
        <f>AVERAGE(LOOKUP(C42,B!$A$12:$A$165,B!$E$12:$E$165),LOOKUP(C42,B!$A$12:$A$165,B!$F$12:$F$165),LOOKUP(C42,B!$A$12:$A$165,B!$G$12:$G$165),LOOKUP(C42,B!$A$12:$A$165,B!$H$12:$H$165),LOOKUP(C42,B!$A$12:$A$165,B!$I$12:$I$165))</f>
        <v>0.5</v>
      </c>
      <c r="F42" s="185"/>
      <c r="G42" s="185"/>
    </row>
    <row r="43" spans="1:7">
      <c r="A43" s="87"/>
      <c r="B43" s="185"/>
      <c r="C43" s="185">
        <v>112</v>
      </c>
      <c r="E43" s="306">
        <f>AVERAGE(LOOKUP(C43,B!$A$12:$A$165,B!$E$12:$E$165),LOOKUP(C43,B!$A$12:$A$165,B!$F$12:$F$165),LOOKUP(C43,B!$A$12:$A$165,B!$G$12:$G$165),LOOKUP(C43,B!$A$12:$A$165,B!$H$12:$H$165),LOOKUP(C43,B!$A$12:$A$165,B!$I$12:$I$165))</f>
        <v>0.49199999999999999</v>
      </c>
      <c r="F43" s="185"/>
      <c r="G43" s="185"/>
    </row>
    <row r="44" spans="1:7">
      <c r="A44" s="87"/>
      <c r="B44" s="185"/>
      <c r="C44" s="185">
        <v>111</v>
      </c>
      <c r="E44" s="306">
        <f>AVERAGE(LOOKUP(C44,B!$A$12:$A$165,B!$E$12:$E$165),LOOKUP(C44,B!$A$12:$A$165,B!$F$12:$F$165),LOOKUP(C44,B!$A$12:$A$165,B!$G$12:$G$165),LOOKUP(C44,B!$A$12:$A$165,B!$H$12:$H$165),LOOKUP(C44,B!$A$12:$A$165,B!$I$12:$I$165))</f>
        <v>0.50399999999999989</v>
      </c>
      <c r="F44" s="185"/>
      <c r="G44" s="185"/>
    </row>
    <row r="45" spans="1:7">
      <c r="A45" s="87"/>
      <c r="B45" s="185" t="s">
        <v>111</v>
      </c>
      <c r="C45" s="185">
        <v>110</v>
      </c>
      <c r="E45" s="306">
        <f>AVERAGE(LOOKUP(C45,B!$A$12:$A$165,B!$E$12:$E$165),LOOKUP(C45,B!$A$12:$A$165,B!$F$12:$F$165),LOOKUP(C45,B!$A$12:$A$165,B!$G$12:$G$165),LOOKUP(C45,B!$A$12:$A$165,B!$H$12:$H$165),LOOKUP(C45,B!$A$12:$A$165,B!$I$12:$I$165))</f>
        <v>0.50399999999999989</v>
      </c>
      <c r="F45" s="185"/>
      <c r="G45" s="185"/>
    </row>
    <row r="46" spans="1:7">
      <c r="A46" s="14"/>
      <c r="B46" s="14"/>
      <c r="C46" s="14"/>
      <c r="D46" s="14"/>
      <c r="E46" s="315"/>
      <c r="F46" s="14"/>
      <c r="G46" s="14"/>
    </row>
  </sheetData>
  <phoneticPr fontId="16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F2" sqref="F2"/>
    </sheetView>
  </sheetViews>
  <sheetFormatPr baseColWidth="10" defaultRowHeight="14" x14ac:dyDescent="0"/>
  <cols>
    <col min="1" max="1" width="17" customWidth="1"/>
    <col min="4" max="4" width="16.33203125" customWidth="1"/>
    <col min="5" max="5" width="25.1640625" customWidth="1"/>
    <col min="6" max="6" width="37.83203125" customWidth="1"/>
    <col min="7" max="7" width="36.1640625" customWidth="1"/>
  </cols>
  <sheetData>
    <row r="1" spans="1:7" ht="23">
      <c r="A1" s="304" t="s">
        <v>106</v>
      </c>
      <c r="B1" s="304" t="s">
        <v>108</v>
      </c>
      <c r="C1" s="304" t="s">
        <v>132</v>
      </c>
      <c r="D1" s="309" t="s">
        <v>126</v>
      </c>
      <c r="E1" s="304" t="s">
        <v>115</v>
      </c>
      <c r="F1" s="304" t="s">
        <v>117</v>
      </c>
      <c r="G1" s="304" t="s">
        <v>118</v>
      </c>
    </row>
    <row r="2" spans="1:7">
      <c r="A2" s="87" t="s">
        <v>142</v>
      </c>
      <c r="B2" s="185" t="s">
        <v>110</v>
      </c>
      <c r="C2" s="185">
        <v>164</v>
      </c>
      <c r="D2" s="303"/>
      <c r="E2" s="306">
        <f>AVERAGE(LOOKUP(C2,Bs!$A$12:$A$48,Bs!$E$12:$E$48),LOOKUP(C2,Bs!$A$12:$A$48,Bs!$F$12:$F$48),LOOKUP(C2,Bs!$A$12:$A$48,Bs!$G$12:$G$48),LOOKUP(C2,Bs!$A$12:$A$48,Bs!$H$12:$H$48),LOOKUP(C2,Bs!$A$12:$A$48,Bs!$I$12:$I$48))</f>
        <v>0.50800000000000001</v>
      </c>
      <c r="F2" s="185">
        <f>SUM(E2:E12)+11*0.66548</f>
        <v>12.952279999999998</v>
      </c>
      <c r="G2" s="185">
        <v>13.03</v>
      </c>
    </row>
    <row r="3" spans="1:7">
      <c r="A3" s="87"/>
      <c r="B3" s="185"/>
      <c r="C3" s="185">
        <v>163</v>
      </c>
      <c r="E3" s="306">
        <f>AVERAGE(LOOKUP(C3,Bs!$A$12:$A$48,Bs!$E$12:$E$48),LOOKUP(C3,Bs!$A$12:$A$48,Bs!$F$12:$F$48),LOOKUP(C3,Bs!$A$12:$A$48,Bs!$G$12:$G$48),LOOKUP(C3,Bs!$A$12:$A$48,Bs!$H$12:$H$48),LOOKUP(C3,Bs!$A$12:$A$48,Bs!$I$12:$I$48))</f>
        <v>0.51600000000000001</v>
      </c>
      <c r="F3" s="185"/>
      <c r="G3" s="185"/>
    </row>
    <row r="4" spans="1:7">
      <c r="A4" s="87"/>
      <c r="B4" s="185"/>
      <c r="C4" s="185">
        <v>162</v>
      </c>
      <c r="E4" s="306">
        <f>AVERAGE(LOOKUP(C4,Bs!$A$12:$A$48,Bs!$E$12:$E$48),LOOKUP(C4,Bs!$A$12:$A$48,Bs!$F$12:$F$48),LOOKUP(C4,Bs!$A$12:$A$48,Bs!$G$12:$G$48),LOOKUP(C4,Bs!$A$12:$A$48,Bs!$H$12:$H$48),LOOKUP(C4,Bs!$A$12:$A$48,Bs!$I$12:$I$48))</f>
        <v>0.52200000000000002</v>
      </c>
      <c r="F4" s="185"/>
      <c r="G4" s="185"/>
    </row>
    <row r="5" spans="1:7">
      <c r="A5" s="87"/>
      <c r="B5" s="185"/>
      <c r="C5" s="185">
        <v>161</v>
      </c>
      <c r="E5" s="306">
        <f>AVERAGE(LOOKUP(C5,Bs!$A$12:$A$48,Bs!$E$12:$E$48),LOOKUP(C5,Bs!$A$12:$A$48,Bs!$F$12:$F$48),LOOKUP(C5,Bs!$A$12:$A$48,Bs!$G$12:$G$48),LOOKUP(C5,Bs!$A$12:$A$48,Bs!$H$12:$H$48),LOOKUP(C5,Bs!$A$12:$A$48,Bs!$I$12:$I$48))</f>
        <v>0.52</v>
      </c>
      <c r="F5" s="185"/>
      <c r="G5" s="185"/>
    </row>
    <row r="6" spans="1:7">
      <c r="A6" s="87"/>
      <c r="B6" s="185"/>
      <c r="C6" s="185">
        <v>160</v>
      </c>
      <c r="E6" s="306">
        <f>AVERAGE(LOOKUP(C6,Bs!$A$12:$A$48,Bs!$E$12:$E$48),LOOKUP(C6,Bs!$A$12:$A$48,Bs!$F$12:$F$48),LOOKUP(C6,Bs!$A$12:$A$48,Bs!$G$12:$G$48),LOOKUP(C6,Bs!$A$12:$A$48,Bs!$H$12:$H$48),LOOKUP(C6,Bs!$A$12:$A$48,Bs!$I$12:$I$48))</f>
        <v>0.51</v>
      </c>
      <c r="F6" s="185"/>
      <c r="G6" s="185"/>
    </row>
    <row r="7" spans="1:7">
      <c r="A7" s="87"/>
      <c r="B7" s="185"/>
      <c r="C7" s="185">
        <v>159</v>
      </c>
      <c r="E7" s="306">
        <f>AVERAGE(LOOKUP(C7,Bs!$A$12:$A$48,Bs!$E$12:$E$48),LOOKUP(C7,Bs!$A$12:$A$48,Bs!$F$12:$F$48),LOOKUP(C7,Bs!$A$12:$A$48,Bs!$G$12:$G$48),LOOKUP(C7,Bs!$A$12:$A$48,Bs!$H$12:$H$48),LOOKUP(C7,Bs!$A$12:$A$48,Bs!$I$12:$I$48))</f>
        <v>0.51</v>
      </c>
      <c r="F7" s="185"/>
      <c r="G7" s="185"/>
    </row>
    <row r="8" spans="1:7">
      <c r="A8" s="87"/>
      <c r="B8" s="185"/>
      <c r="C8" s="185">
        <v>158</v>
      </c>
      <c r="E8" s="306">
        <f>AVERAGE(LOOKUP(C8,Bs!$A$12:$A$48,Bs!$E$12:$E$48),LOOKUP(C8,Bs!$A$12:$A$48,Bs!$F$12:$F$48),LOOKUP(C8,Bs!$A$12:$A$48,Bs!$G$12:$G$48),LOOKUP(C8,Bs!$A$12:$A$48,Bs!$H$12:$H$48),LOOKUP(C8,Bs!$A$12:$A$48,Bs!$I$12:$I$48))</f>
        <v>0.49800000000000005</v>
      </c>
      <c r="F8" s="185"/>
      <c r="G8" s="185"/>
    </row>
    <row r="9" spans="1:7">
      <c r="A9" s="87"/>
      <c r="B9" s="185"/>
      <c r="C9" s="185">
        <v>157</v>
      </c>
      <c r="E9" s="306">
        <f>AVERAGE(LOOKUP(C9,Bs!$A$12:$A$48,Bs!$E$12:$E$48),LOOKUP(C9,Bs!$A$12:$A$48,Bs!$F$12:$F$48),LOOKUP(C9,Bs!$A$12:$A$48,Bs!$G$12:$G$48),LOOKUP(C9,Bs!$A$12:$A$48,Bs!$H$12:$H$48),LOOKUP(C9,Bs!$A$12:$A$48,Bs!$I$12:$I$48))</f>
        <v>0.49800000000000005</v>
      </c>
      <c r="F9" s="185"/>
      <c r="G9" s="185"/>
    </row>
    <row r="10" spans="1:7">
      <c r="A10" s="87"/>
      <c r="B10" s="185"/>
      <c r="C10" s="185">
        <v>156</v>
      </c>
      <c r="E10" s="306">
        <f>AVERAGE(LOOKUP(C10,Bs!$A$12:$A$48,Bs!$E$12:$E$48),LOOKUP(C10,Bs!$A$12:$A$48,Bs!$F$12:$F$48),LOOKUP(C10,Bs!$A$12:$A$48,Bs!$G$12:$G$48),LOOKUP(C10,Bs!$A$12:$A$48,Bs!$H$12:$H$48),LOOKUP(C10,Bs!$A$12:$A$48,Bs!$I$12:$I$48))</f>
        <v>0.51800000000000002</v>
      </c>
      <c r="F10" s="185"/>
      <c r="G10" s="185"/>
    </row>
    <row r="11" spans="1:7">
      <c r="A11" s="87"/>
      <c r="B11" s="185"/>
      <c r="C11" s="185">
        <v>155</v>
      </c>
      <c r="E11" s="306">
        <f>AVERAGE(LOOKUP(C11,Bs!$A$12:$A$48,Bs!$E$12:$E$48),LOOKUP(C11,Bs!$A$12:$A$48,Bs!$F$12:$F$48),LOOKUP(C11,Bs!$A$12:$A$48,Bs!$G$12:$G$48),LOOKUP(C11,Bs!$A$12:$A$48,Bs!$H$12:$H$48),LOOKUP(C11,Bs!$A$12:$A$48,Bs!$I$12:$I$48))</f>
        <v>0.5119999999999999</v>
      </c>
      <c r="F11" s="185"/>
      <c r="G11" s="185"/>
    </row>
    <row r="12" spans="1:7">
      <c r="A12" s="103"/>
      <c r="B12" s="253" t="s">
        <v>111</v>
      </c>
      <c r="C12" s="253">
        <v>154</v>
      </c>
      <c r="D12" s="103"/>
      <c r="E12" s="314">
        <f>AVERAGE(LOOKUP(C12,Bs!$A$12:$A$48,Bs!$E$12:$E$48),LOOKUP(C12,Bs!$A$12:$A$48,Bs!$F$12:$F$48),LOOKUP(C12,Bs!$A$12:$A$48,Bs!$G$12:$G$48),LOOKUP(C12,Bs!$A$12:$A$48,Bs!$H$12:$H$48),LOOKUP(C12,Bs!$A$12:$A$48,Bs!$I$12:$I$48))</f>
        <v>0.52</v>
      </c>
      <c r="F12" s="253"/>
      <c r="G12" s="253"/>
    </row>
  </sheetData>
  <phoneticPr fontId="16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2"/>
  <sheetViews>
    <sheetView workbookViewId="0">
      <selection activeCell="F2" sqref="F2"/>
    </sheetView>
  </sheetViews>
  <sheetFormatPr baseColWidth="10" defaultRowHeight="14" x14ac:dyDescent="0"/>
  <cols>
    <col min="1" max="1" width="17.1640625" customWidth="1"/>
    <col min="4" max="4" width="16.1640625" customWidth="1"/>
    <col min="5" max="5" width="24.6640625" customWidth="1"/>
    <col min="6" max="6" width="37.5" customWidth="1"/>
    <col min="7" max="7" width="36" customWidth="1"/>
  </cols>
  <sheetData>
    <row r="1" spans="1:7" ht="23">
      <c r="A1" s="304" t="s">
        <v>106</v>
      </c>
      <c r="B1" s="304" t="s">
        <v>108</v>
      </c>
      <c r="C1" s="304" t="s">
        <v>125</v>
      </c>
      <c r="D1" s="309" t="s">
        <v>126</v>
      </c>
      <c r="E1" s="304" t="s">
        <v>115</v>
      </c>
      <c r="F1" s="304" t="s">
        <v>117</v>
      </c>
      <c r="G1" s="304" t="s">
        <v>118</v>
      </c>
    </row>
    <row r="2" spans="1:7">
      <c r="A2" s="87" t="s">
        <v>137</v>
      </c>
      <c r="B2" s="185" t="s">
        <v>110</v>
      </c>
      <c r="C2" s="185">
        <v>35</v>
      </c>
      <c r="D2" s="303"/>
      <c r="E2" s="306">
        <f>AVERAGE(LOOKUP(C2,B!$A$12:$A$165,B!$E$12:$E$165),LOOKUP(C2,B!$A$12:$A$165,B!$F$12:$F$165),LOOKUP(C2,B!$A$12:$A$165,B!$G$12:$G$165),LOOKUP(C2,B!$A$12:$A$165,B!$H$12:$H$165),LOOKUP(C2,B!$A$12:$A$165,B!$I$12:$I$165))</f>
        <v>0.48599999999999993</v>
      </c>
      <c r="F2" s="185">
        <f>SUM(E2:E11)+10*0.79756</f>
        <v>12.9656</v>
      </c>
      <c r="G2" s="185">
        <v>12.96</v>
      </c>
    </row>
    <row r="3" spans="1:7">
      <c r="A3" s="87"/>
      <c r="B3" s="185"/>
      <c r="C3" s="185">
        <v>34</v>
      </c>
      <c r="E3" s="306">
        <f>AVERAGE(LOOKUP(C3,B!$A$12:$A$165,B!$E$12:$E$165),LOOKUP(C3,B!$A$12:$A$165,B!$F$12:$F$165),LOOKUP(C3,B!$A$12:$A$165,B!$G$12:$G$165),LOOKUP(C3,B!$A$12:$A$165,B!$H$12:$H$165),LOOKUP(C3,B!$A$12:$A$165,B!$I$12:$I$165))</f>
        <v>0.502</v>
      </c>
      <c r="F3" s="185"/>
      <c r="G3" s="185"/>
    </row>
    <row r="4" spans="1:7">
      <c r="A4" s="87"/>
      <c r="B4" s="185"/>
      <c r="C4" s="185">
        <v>33</v>
      </c>
      <c r="E4" s="306">
        <f>AVERAGE(LOOKUP(C4,B!$A$12:$A$165,B!$E$12:$E$165),LOOKUP(C4,B!$A$12:$A$165,B!$F$12:$F$165),LOOKUP(C4,B!$A$12:$A$165,B!$G$12:$G$165),LOOKUP(C4,B!$A$12:$A$165,B!$H$12:$H$165),LOOKUP(C4,B!$A$12:$A$165,B!$I$12:$I$165))</f>
        <v>0.5</v>
      </c>
      <c r="F4" s="185"/>
      <c r="G4" s="185"/>
    </row>
    <row r="5" spans="1:7">
      <c r="A5" s="87"/>
      <c r="B5" s="185"/>
      <c r="C5" s="185">
        <v>32</v>
      </c>
      <c r="E5" s="306">
        <f>AVERAGE(LOOKUP(C5,B!$A$12:$A$165,B!$E$12:$E$165),LOOKUP(C5,B!$A$12:$A$165,B!$F$12:$F$165),LOOKUP(C5,B!$A$12:$A$165,B!$G$12:$G$165),LOOKUP(C5,B!$A$12:$A$165,B!$H$12:$H$165),LOOKUP(C5,B!$A$12:$A$165,B!$I$12:$I$165))</f>
        <v>0.5</v>
      </c>
      <c r="F5" s="185"/>
      <c r="G5" s="185"/>
    </row>
    <row r="6" spans="1:7">
      <c r="A6" s="87"/>
      <c r="B6" s="185"/>
      <c r="C6" s="185">
        <v>31</v>
      </c>
      <c r="E6" s="306">
        <f>AVERAGE(LOOKUP(C6,B!$A$12:$A$165,B!$E$12:$E$165),LOOKUP(C6,B!$A$12:$A$165,B!$F$12:$F$165),LOOKUP(C6,B!$A$12:$A$165,B!$G$12:$G$165),LOOKUP(C6,B!$A$12:$A$165,B!$H$12:$H$165),LOOKUP(C6,B!$A$12:$A$165,B!$I$12:$I$165))</f>
        <v>0.51</v>
      </c>
      <c r="F6" s="185"/>
      <c r="G6" s="185"/>
    </row>
    <row r="7" spans="1:7">
      <c r="A7" s="87"/>
      <c r="B7" s="185"/>
      <c r="C7" s="185">
        <v>30</v>
      </c>
      <c r="E7" s="306">
        <f>AVERAGE(LOOKUP(C7,B!$A$12:$A$165,B!$E$12:$E$165),LOOKUP(C7,B!$A$12:$A$165,B!$F$12:$F$165),LOOKUP(C7,B!$A$12:$A$165,B!$G$12:$G$165),LOOKUP(C7,B!$A$12:$A$165,B!$H$12:$H$165),LOOKUP(C7,B!$A$12:$A$165,B!$I$12:$I$165))</f>
        <v>0.49800000000000005</v>
      </c>
      <c r="F7" s="185"/>
      <c r="G7" s="185"/>
    </row>
    <row r="8" spans="1:7">
      <c r="A8" s="87"/>
      <c r="B8" s="185"/>
      <c r="C8" s="185">
        <v>29</v>
      </c>
      <c r="E8" s="306">
        <f>AVERAGE(LOOKUP(C8,B!$A$12:$A$165,B!$E$12:$E$165),LOOKUP(C8,B!$A$12:$A$165,B!$F$12:$F$165),LOOKUP(C8,B!$A$12:$A$165,B!$G$12:$G$165),LOOKUP(C8,B!$A$12:$A$165,B!$H$12:$H$165),LOOKUP(C8,B!$A$12:$A$165,B!$I$12:$I$165))</f>
        <v>0.5</v>
      </c>
      <c r="F8" s="185"/>
      <c r="G8" s="185"/>
    </row>
    <row r="9" spans="1:7">
      <c r="A9" s="87"/>
      <c r="B9" s="185"/>
      <c r="C9" s="185">
        <v>28</v>
      </c>
      <c r="E9" s="306">
        <f>AVERAGE(LOOKUP(C9,B!$A$12:$A$165,B!$E$12:$E$165),LOOKUP(C9,B!$A$12:$A$165,B!$F$12:$F$165),LOOKUP(C9,B!$A$12:$A$165,B!$G$12:$G$165),LOOKUP(C9,B!$A$12:$A$165,B!$H$12:$H$165),LOOKUP(C9,B!$A$12:$A$165,B!$I$12:$I$165))</f>
        <v>0.50399999999999989</v>
      </c>
      <c r="F9" s="185"/>
      <c r="G9" s="185"/>
    </row>
    <row r="10" spans="1:7">
      <c r="A10" s="87"/>
      <c r="B10" s="185"/>
      <c r="C10" s="185">
        <v>27</v>
      </c>
      <c r="E10" s="306">
        <f>AVERAGE(LOOKUP(C10,B!$A$12:$A$165,B!$E$12:$E$165),LOOKUP(C10,B!$A$12:$A$165,B!$F$12:$F$165),LOOKUP(C10,B!$A$12:$A$165,B!$G$12:$G$165),LOOKUP(C10,B!$A$12:$A$165,B!$H$12:$H$165),LOOKUP(C10,B!$A$12:$A$165,B!$I$12:$I$165))</f>
        <v>0.51</v>
      </c>
      <c r="F10" s="185"/>
      <c r="G10" s="185"/>
    </row>
    <row r="11" spans="1:7">
      <c r="A11" s="87"/>
      <c r="B11" s="185" t="s">
        <v>111</v>
      </c>
      <c r="C11" s="185">
        <v>26</v>
      </c>
      <c r="E11" s="314">
        <f>AVERAGE(LOOKUP(C11,B!$A$12:$A$165,B!$E$12:$E$165),LOOKUP(C11,B!$A$12:$A$165,B!$F$12:$F$165),LOOKUP(C11,B!$A$12:$A$165,B!$G$12:$G$165),LOOKUP(C11,B!$A$12:$A$165,B!$H$12:$H$165),LOOKUP(C11,B!$A$12:$A$165,B!$I$12:$I$165))</f>
        <v>0.48</v>
      </c>
      <c r="F11" s="185"/>
      <c r="G11" s="185"/>
    </row>
    <row r="12" spans="1:7">
      <c r="A12" s="14" t="s">
        <v>138</v>
      </c>
      <c r="B12" s="303" t="s">
        <v>110</v>
      </c>
      <c r="C12" s="303">
        <v>45</v>
      </c>
      <c r="D12" s="303"/>
      <c r="E12" s="306">
        <f>AVERAGE(LOOKUP(C12,B!$A$12:$A$165,B!$E$12:$E$165),LOOKUP(C12,B!$A$12:$A$165,B!$F$12:$F$165),LOOKUP(C12,B!$A$12:$A$165,B!$G$12:$G$165),LOOKUP(C12,B!$A$12:$A$165,B!$H$12:$H$165),LOOKUP(C12,B!$A$12:$A$165,B!$I$12:$I$165))</f>
        <v>0.504</v>
      </c>
      <c r="F12" s="303">
        <f>SUM(E12:E21)+10*0.79756</f>
        <v>12.9856</v>
      </c>
      <c r="G12" s="303">
        <v>12.95</v>
      </c>
    </row>
    <row r="13" spans="1:7">
      <c r="A13" s="87"/>
      <c r="B13" s="185"/>
      <c r="C13" s="185">
        <v>44</v>
      </c>
      <c r="E13" s="306">
        <f>AVERAGE(LOOKUP(C13,B!$A$12:$A$165,B!$E$12:$E$165),LOOKUP(C13,B!$A$12:$A$165,B!$F$12:$F$165),LOOKUP(C13,B!$A$12:$A$165,B!$G$12:$G$165),LOOKUP(C13,B!$A$12:$A$165,B!$H$12:$H$165),LOOKUP(C13,B!$A$12:$A$165,B!$I$12:$I$165))</f>
        <v>0.496</v>
      </c>
      <c r="F13" s="185"/>
      <c r="G13" s="185"/>
    </row>
    <row r="14" spans="1:7">
      <c r="A14" s="87"/>
      <c r="B14" s="185"/>
      <c r="C14" s="185">
        <v>43</v>
      </c>
      <c r="E14" s="306">
        <f>AVERAGE(LOOKUP(C14,B!$A$12:$A$165,B!$E$12:$E$165),LOOKUP(C14,B!$A$12:$A$165,B!$F$12:$F$165),LOOKUP(C14,B!$A$12:$A$165,B!$G$12:$G$165),LOOKUP(C14,B!$A$12:$A$165,B!$H$12:$H$165),LOOKUP(C14,B!$A$12:$A$165,B!$I$12:$I$165))</f>
        <v>0.5</v>
      </c>
      <c r="F14" s="185"/>
      <c r="G14" s="185"/>
    </row>
    <row r="15" spans="1:7">
      <c r="A15" s="87"/>
      <c r="B15" s="185"/>
      <c r="C15" s="185">
        <v>42</v>
      </c>
      <c r="E15" s="306">
        <f>AVERAGE(LOOKUP(C15,B!$A$12:$A$165,B!$E$12:$E$165),LOOKUP(C15,B!$A$12:$A$165,B!$F$12:$F$165),LOOKUP(C15,B!$A$12:$A$165,B!$G$12:$G$165),LOOKUP(C15,B!$A$12:$A$165,B!$H$12:$H$165),LOOKUP(C15,B!$A$12:$A$165,B!$I$12:$I$165))</f>
        <v>0.49800000000000005</v>
      </c>
      <c r="F15" s="185"/>
      <c r="G15" s="185"/>
    </row>
    <row r="16" spans="1:7">
      <c r="A16" s="87"/>
      <c r="B16" s="185"/>
      <c r="C16" s="185">
        <v>41</v>
      </c>
      <c r="E16" s="306">
        <f>AVERAGE(LOOKUP(C16,B!$A$12:$A$165,B!$E$12:$E$165),LOOKUP(C16,B!$A$12:$A$165,B!$F$12:$F$165),LOOKUP(C16,B!$A$12:$A$165,B!$G$12:$G$165),LOOKUP(C16,B!$A$12:$A$165,B!$H$12:$H$165),LOOKUP(C16,B!$A$12:$A$165,B!$I$12:$I$165))</f>
        <v>0.504</v>
      </c>
      <c r="F16" s="185"/>
      <c r="G16" s="185"/>
    </row>
    <row r="17" spans="1:7">
      <c r="A17" s="87"/>
      <c r="B17" s="185"/>
      <c r="C17" s="185">
        <v>40</v>
      </c>
      <c r="E17" s="306">
        <f>AVERAGE(LOOKUP(C17,B!$A$12:$A$165,B!$E$12:$E$165),LOOKUP(C17,B!$A$12:$A$165,B!$F$12:$F$165),LOOKUP(C17,B!$A$12:$A$165,B!$G$12:$G$165),LOOKUP(C17,B!$A$12:$A$165,B!$H$12:$H$165),LOOKUP(C17,B!$A$12:$A$165,B!$I$12:$I$165))</f>
        <v>0.496</v>
      </c>
      <c r="F17" s="185"/>
      <c r="G17" s="185"/>
    </row>
    <row r="18" spans="1:7">
      <c r="A18" s="87"/>
      <c r="B18" s="185"/>
      <c r="C18" s="185">
        <v>39</v>
      </c>
      <c r="E18" s="306">
        <f>AVERAGE(LOOKUP(C18,B!$A$12:$A$165,B!$E$12:$E$165),LOOKUP(C18,B!$A$12:$A$165,B!$F$12:$F$165),LOOKUP(C18,B!$A$12:$A$165,B!$G$12:$G$165),LOOKUP(C18,B!$A$12:$A$165,B!$H$12:$H$165),LOOKUP(C18,B!$A$12:$A$165,B!$I$12:$I$165))</f>
        <v>0.5</v>
      </c>
      <c r="F18" s="185"/>
      <c r="G18" s="185"/>
    </row>
    <row r="19" spans="1:7">
      <c r="A19" s="87"/>
      <c r="B19" s="185"/>
      <c r="C19" s="185">
        <v>38</v>
      </c>
      <c r="E19" s="306">
        <f>AVERAGE(LOOKUP(C19,B!$A$12:$A$165,B!$E$12:$E$165),LOOKUP(C19,B!$A$12:$A$165,B!$F$12:$F$165),LOOKUP(C19,B!$A$12:$A$165,B!$G$12:$G$165),LOOKUP(C19,B!$A$12:$A$165,B!$H$12:$H$165),LOOKUP(C19,B!$A$12:$A$165,B!$I$12:$I$165))</f>
        <v>0.502</v>
      </c>
      <c r="F19" s="185"/>
      <c r="G19" s="185"/>
    </row>
    <row r="20" spans="1:7">
      <c r="A20" s="87"/>
      <c r="B20" s="185"/>
      <c r="C20" s="185">
        <v>37</v>
      </c>
      <c r="E20" s="306">
        <f>AVERAGE(LOOKUP(C20,B!$A$12:$A$165,B!$E$12:$E$165),LOOKUP(C20,B!$A$12:$A$165,B!$F$12:$F$165),LOOKUP(C20,B!$A$12:$A$165,B!$G$12:$G$165),LOOKUP(C20,B!$A$12:$A$165,B!$H$12:$H$165),LOOKUP(C20,B!$A$12:$A$165,B!$I$12:$I$165))</f>
        <v>0.502</v>
      </c>
      <c r="F20" s="185"/>
      <c r="G20" s="185"/>
    </row>
    <row r="21" spans="1:7">
      <c r="A21" s="87"/>
      <c r="B21" s="185" t="s">
        <v>111</v>
      </c>
      <c r="C21" s="185">
        <v>36</v>
      </c>
      <c r="E21" s="314">
        <f>AVERAGE(LOOKUP(C21,B!$A$12:$A$165,B!$E$12:$E$165),LOOKUP(C21,B!$A$12:$A$165,B!$F$12:$F$165),LOOKUP(C21,B!$A$12:$A$165,B!$G$12:$G$165),LOOKUP(C21,B!$A$12:$A$165,B!$H$12:$H$165),LOOKUP(C21,B!$A$12:$A$165,B!$I$12:$I$165))</f>
        <v>0.50800000000000001</v>
      </c>
      <c r="F21" s="185"/>
      <c r="G21" s="185"/>
    </row>
    <row r="22" spans="1:7">
      <c r="A22" s="14" t="s">
        <v>139</v>
      </c>
      <c r="B22" s="303" t="s">
        <v>110</v>
      </c>
      <c r="C22" s="303">
        <v>55</v>
      </c>
      <c r="D22" s="303"/>
      <c r="E22" s="306">
        <f>AVERAGE(LOOKUP(C22,B!$A$12:$A$165,B!$E$12:$E$165),LOOKUP(C22,B!$A$12:$A$165,B!$F$12:$F$165),LOOKUP(C22,B!$A$12:$A$165,B!$G$12:$G$165),LOOKUP(C22,B!$A$12:$A$165,B!$H$12:$H$165),LOOKUP(C22,B!$A$12:$A$165,B!$I$12:$I$165))</f>
        <v>0.48</v>
      </c>
      <c r="F22" s="303">
        <f>SUM(E22:E31)+10*0.79756</f>
        <v>12.957599999999999</v>
      </c>
      <c r="G22" s="303">
        <v>12.95</v>
      </c>
    </row>
    <row r="23" spans="1:7">
      <c r="A23" s="87"/>
      <c r="B23" s="185"/>
      <c r="C23" s="185">
        <v>54</v>
      </c>
      <c r="E23" s="306">
        <f>AVERAGE(LOOKUP(C23,B!$A$12:$A$165,B!$E$12:$E$165),LOOKUP(C23,B!$A$12:$A$165,B!$F$12:$F$165),LOOKUP(C23,B!$A$12:$A$165,B!$G$12:$G$165),LOOKUP(C23,B!$A$12:$A$165,B!$H$12:$H$165),LOOKUP(C23,B!$A$12:$A$165,B!$I$12:$I$165))</f>
        <v>0.51</v>
      </c>
      <c r="F23" s="185"/>
      <c r="G23" s="185"/>
    </row>
    <row r="24" spans="1:7">
      <c r="A24" s="87"/>
      <c r="B24" s="185"/>
      <c r="C24" s="185">
        <v>53</v>
      </c>
      <c r="E24" s="306">
        <f>AVERAGE(LOOKUP(C24,B!$A$12:$A$165,B!$E$12:$E$165),LOOKUP(C24,B!$A$12:$A$165,B!$F$12:$F$165),LOOKUP(C24,B!$A$12:$A$165,B!$G$12:$G$165),LOOKUP(C24,B!$A$12:$A$165,B!$H$12:$H$165),LOOKUP(C24,B!$A$12:$A$165,B!$I$12:$I$165))</f>
        <v>0.49199999999999999</v>
      </c>
      <c r="F24" s="185"/>
      <c r="G24" s="185"/>
    </row>
    <row r="25" spans="1:7">
      <c r="A25" s="87"/>
      <c r="B25" s="185"/>
      <c r="C25" s="185">
        <v>52</v>
      </c>
      <c r="E25" s="306">
        <f>AVERAGE(LOOKUP(C25,B!$A$12:$A$165,B!$E$12:$E$165),LOOKUP(C25,B!$A$12:$A$165,B!$F$12:$F$165),LOOKUP(C25,B!$A$12:$A$165,B!$G$12:$G$165),LOOKUP(C25,B!$A$12:$A$165,B!$H$12:$H$165),LOOKUP(C25,B!$A$12:$A$165,B!$I$12:$I$165))</f>
        <v>0.5</v>
      </c>
      <c r="F25" s="185"/>
      <c r="G25" s="185"/>
    </row>
    <row r="26" spans="1:7">
      <c r="A26" s="87"/>
      <c r="B26" s="185"/>
      <c r="C26" s="185">
        <v>51</v>
      </c>
      <c r="E26" s="306">
        <f>AVERAGE(LOOKUP(C26,B!$A$12:$A$165,B!$E$12:$E$165),LOOKUP(C26,B!$A$12:$A$165,B!$F$12:$F$165),LOOKUP(C26,B!$A$12:$A$165,B!$G$12:$G$165),LOOKUP(C26,B!$A$12:$A$165,B!$H$12:$H$165),LOOKUP(C26,B!$A$12:$A$165,B!$I$12:$I$165))</f>
        <v>0.51</v>
      </c>
      <c r="F26" s="185"/>
      <c r="G26" s="185"/>
    </row>
    <row r="27" spans="1:7">
      <c r="A27" s="87"/>
      <c r="B27" s="185"/>
      <c r="C27" s="185">
        <v>50</v>
      </c>
      <c r="E27" s="306">
        <f>AVERAGE(LOOKUP(C27,B!$A$12:$A$165,B!$E$12:$E$165),LOOKUP(C27,B!$A$12:$A$165,B!$F$12:$F$165),LOOKUP(C27,B!$A$12:$A$165,B!$G$12:$G$165),LOOKUP(C27,B!$A$12:$A$165,B!$H$12:$H$165),LOOKUP(C27,B!$A$12:$A$165,B!$I$12:$I$165))</f>
        <v>0.49800000000000005</v>
      </c>
      <c r="F27" s="185"/>
      <c r="G27" s="185"/>
    </row>
    <row r="28" spans="1:7">
      <c r="A28" s="87"/>
      <c r="B28" s="185"/>
      <c r="C28" s="185">
        <v>49</v>
      </c>
      <c r="E28" s="306">
        <f>AVERAGE(LOOKUP(C28,B!$A$12:$A$165,B!$E$12:$E$165),LOOKUP(C28,B!$A$12:$A$165,B!$F$12:$F$165),LOOKUP(C28,B!$A$12:$A$165,B!$G$12:$G$165),LOOKUP(C28,B!$A$12:$A$165,B!$H$12:$H$165),LOOKUP(C28,B!$A$12:$A$165,B!$I$12:$I$165))</f>
        <v>0.49199999999999999</v>
      </c>
      <c r="F28" s="185"/>
      <c r="G28" s="185"/>
    </row>
    <row r="29" spans="1:7">
      <c r="A29" s="87"/>
      <c r="B29" s="185"/>
      <c r="C29" s="185">
        <v>48</v>
      </c>
      <c r="E29" s="306">
        <f>AVERAGE(LOOKUP(C29,B!$A$12:$A$165,B!$E$12:$E$165),LOOKUP(C29,B!$A$12:$A$165,B!$F$12:$F$165),LOOKUP(C29,B!$A$12:$A$165,B!$G$12:$G$165),LOOKUP(C29,B!$A$12:$A$165,B!$H$12:$H$165),LOOKUP(C29,B!$A$12:$A$165,B!$I$12:$I$165))</f>
        <v>0.50399999999999989</v>
      </c>
      <c r="F29" s="185"/>
      <c r="G29" s="185"/>
    </row>
    <row r="30" spans="1:7">
      <c r="A30" s="87"/>
      <c r="B30" s="185"/>
      <c r="C30" s="185">
        <v>47</v>
      </c>
      <c r="E30" s="306">
        <f>AVERAGE(LOOKUP(C30,B!$A$12:$A$165,B!$E$12:$E$165),LOOKUP(C30,B!$A$12:$A$165,B!$F$12:$F$165),LOOKUP(C30,B!$A$12:$A$165,B!$G$12:$G$165),LOOKUP(C30,B!$A$12:$A$165,B!$H$12:$H$165),LOOKUP(C30,B!$A$12:$A$165,B!$I$12:$I$165))</f>
        <v>0.49199999999999999</v>
      </c>
      <c r="F30" s="185"/>
      <c r="G30" s="185"/>
    </row>
    <row r="31" spans="1:7">
      <c r="A31" s="87"/>
      <c r="B31" s="185" t="s">
        <v>111</v>
      </c>
      <c r="C31" s="185">
        <v>46</v>
      </c>
      <c r="E31" s="314">
        <f>AVERAGE(LOOKUP(C31,B!$A$12:$A$165,B!$E$12:$E$165),LOOKUP(C31,B!$A$12:$A$165,B!$F$12:$F$165),LOOKUP(C31,B!$A$12:$A$165,B!$G$12:$G$165),LOOKUP(C31,B!$A$12:$A$165,B!$H$12:$H$165),LOOKUP(C31,B!$A$12:$A$165,B!$I$12:$I$165))</f>
        <v>0.50399999999999989</v>
      </c>
      <c r="F31" s="185"/>
      <c r="G31" s="185"/>
    </row>
    <row r="32" spans="1:7">
      <c r="A32" s="14" t="s">
        <v>140</v>
      </c>
      <c r="B32" s="303" t="s">
        <v>110</v>
      </c>
      <c r="C32" s="303">
        <v>65</v>
      </c>
      <c r="D32" s="303"/>
      <c r="E32" s="306">
        <f>AVERAGE(LOOKUP(C32,B!$A$12:$A$165,B!$E$12:$E$165),LOOKUP(C32,B!$A$12:$A$165,B!$F$12:$F$165),LOOKUP(C32,B!$A$12:$A$165,B!$G$12:$G$165),LOOKUP(C32,B!$A$12:$A$165,B!$H$12:$H$165),LOOKUP(C32,B!$A$12:$A$165,B!$I$12:$I$165))</f>
        <v>0.49399999999999994</v>
      </c>
      <c r="F32" s="303">
        <f>SUM(E32:E41)+10*0.79756</f>
        <v>13.021599999999999</v>
      </c>
      <c r="G32" s="303">
        <v>13.07</v>
      </c>
    </row>
    <row r="33" spans="1:7">
      <c r="A33" s="87"/>
      <c r="B33" s="185"/>
      <c r="C33" s="185">
        <v>64</v>
      </c>
      <c r="E33" s="306">
        <f>AVERAGE(LOOKUP(C33,B!$A$12:$A$165,B!$E$12:$E$165),LOOKUP(C33,B!$A$12:$A$165,B!$F$12:$F$165),LOOKUP(C33,B!$A$12:$A$165,B!$G$12:$G$165),LOOKUP(C33,B!$A$12:$A$165,B!$H$12:$H$165),LOOKUP(C33,B!$A$12:$A$165,B!$I$12:$I$165))</f>
        <v>0.51600000000000001</v>
      </c>
      <c r="F33" s="185"/>
      <c r="G33" s="185"/>
    </row>
    <row r="34" spans="1:7">
      <c r="A34" s="87"/>
      <c r="B34" s="185"/>
      <c r="C34" s="185">
        <v>63</v>
      </c>
      <c r="E34" s="306">
        <f>AVERAGE(LOOKUP(C34,B!$A$12:$A$165,B!$E$12:$E$165),LOOKUP(C34,B!$A$12:$A$165,B!$F$12:$F$165),LOOKUP(C34,B!$A$12:$A$165,B!$G$12:$G$165),LOOKUP(C34,B!$A$12:$A$165,B!$H$12:$H$165),LOOKUP(C34,B!$A$12:$A$165,B!$I$12:$I$165))</f>
        <v>0.5</v>
      </c>
      <c r="F34" s="185"/>
      <c r="G34" s="185"/>
    </row>
    <row r="35" spans="1:7">
      <c r="A35" s="87"/>
      <c r="B35" s="185"/>
      <c r="C35" s="185">
        <v>62</v>
      </c>
      <c r="E35" s="306">
        <f>AVERAGE(LOOKUP(C35,B!$A$12:$A$165,B!$E$12:$E$165),LOOKUP(C35,B!$A$12:$A$165,B!$F$12:$F$165),LOOKUP(C35,B!$A$12:$A$165,B!$G$12:$G$165),LOOKUP(C35,B!$A$12:$A$165,B!$H$12:$H$165),LOOKUP(C35,B!$A$12:$A$165,B!$I$12:$I$165))</f>
        <v>0.49399999999999994</v>
      </c>
      <c r="F35" s="185"/>
      <c r="G35" s="185"/>
    </row>
    <row r="36" spans="1:7">
      <c r="A36" s="87"/>
      <c r="B36" s="185"/>
      <c r="C36" s="185">
        <v>61</v>
      </c>
      <c r="E36" s="306">
        <f>AVERAGE(LOOKUP(C36,B!$A$12:$A$165,B!$E$12:$E$165),LOOKUP(C36,B!$A$12:$A$165,B!$F$12:$F$165),LOOKUP(C36,B!$A$12:$A$165,B!$G$12:$G$165),LOOKUP(C36,B!$A$12:$A$165,B!$H$12:$H$165),LOOKUP(C36,B!$A$12:$A$165,B!$I$12:$I$165))</f>
        <v>0.502</v>
      </c>
      <c r="F36" s="185"/>
      <c r="G36" s="185"/>
    </row>
    <row r="37" spans="1:7">
      <c r="A37" s="87"/>
      <c r="B37" s="185"/>
      <c r="C37" s="185">
        <v>60</v>
      </c>
      <c r="E37" s="306">
        <f>AVERAGE(LOOKUP(C37,B!$A$12:$A$165,B!$E$12:$E$165),LOOKUP(C37,B!$A$12:$A$165,B!$F$12:$F$165),LOOKUP(C37,B!$A$12:$A$165,B!$G$12:$G$165),LOOKUP(C37,B!$A$12:$A$165,B!$H$12:$H$165),LOOKUP(C37,B!$A$12:$A$165,B!$I$12:$I$165))</f>
        <v>0.5</v>
      </c>
      <c r="F37" s="185"/>
      <c r="G37" s="185"/>
    </row>
    <row r="38" spans="1:7">
      <c r="A38" s="87"/>
      <c r="B38" s="185"/>
      <c r="C38" s="185">
        <v>59</v>
      </c>
      <c r="E38" s="306">
        <f>AVERAGE(LOOKUP(C38,B!$A$12:$A$165,B!$E$12:$E$165),LOOKUP(C38,B!$A$12:$A$165,B!$F$12:$F$165),LOOKUP(C38,B!$A$12:$A$165,B!$G$12:$G$165),LOOKUP(C38,B!$A$12:$A$165,B!$H$12:$H$165),LOOKUP(C38,B!$A$12:$A$165,B!$I$12:$I$165))</f>
        <v>0.52</v>
      </c>
      <c r="F38" s="185"/>
      <c r="G38" s="185"/>
    </row>
    <row r="39" spans="1:7">
      <c r="A39" s="87"/>
      <c r="B39" s="185"/>
      <c r="C39" s="185">
        <v>58</v>
      </c>
      <c r="E39" s="306">
        <f>AVERAGE(LOOKUP(C39,B!$A$12:$A$165,B!$E$12:$E$165),LOOKUP(C39,B!$A$12:$A$165,B!$F$12:$F$165),LOOKUP(C39,B!$A$12:$A$165,B!$G$12:$G$165),LOOKUP(C39,B!$A$12:$A$165,B!$H$12:$H$165),LOOKUP(C39,B!$A$12:$A$165,B!$I$12:$I$165))</f>
        <v>0.51</v>
      </c>
      <c r="F39" s="185"/>
      <c r="G39" s="185"/>
    </row>
    <row r="40" spans="1:7">
      <c r="A40" s="87"/>
      <c r="B40" s="185"/>
      <c r="C40" s="185">
        <v>57</v>
      </c>
      <c r="E40" s="306">
        <f>AVERAGE(LOOKUP(C40,B!$A$12:$A$165,B!$E$12:$E$165),LOOKUP(C40,B!$A$12:$A$165,B!$F$12:$F$165),LOOKUP(C40,B!$A$12:$A$165,B!$G$12:$G$165),LOOKUP(C40,B!$A$12:$A$165,B!$H$12:$H$165),LOOKUP(C40,B!$A$12:$A$165,B!$I$12:$I$165))</f>
        <v>0.5</v>
      </c>
      <c r="F40" s="185"/>
      <c r="G40" s="185"/>
    </row>
    <row r="41" spans="1:7">
      <c r="A41" s="87"/>
      <c r="B41" s="185" t="s">
        <v>111</v>
      </c>
      <c r="C41" s="185">
        <v>56</v>
      </c>
      <c r="E41" s="314">
        <f>AVERAGE(LOOKUP(C41,B!$A$12:$A$165,B!$E$12:$E$165),LOOKUP(C41,B!$A$12:$A$165,B!$F$12:$F$165),LOOKUP(C41,B!$A$12:$A$165,B!$G$12:$G$165),LOOKUP(C41,B!$A$12:$A$165,B!$H$12:$H$165),LOOKUP(C41,B!$A$12:$A$165,B!$I$12:$I$165))</f>
        <v>0.51</v>
      </c>
      <c r="F41" s="185"/>
      <c r="G41" s="185"/>
    </row>
    <row r="42" spans="1:7">
      <c r="A42" s="14" t="s">
        <v>141</v>
      </c>
      <c r="B42" s="303" t="s">
        <v>110</v>
      </c>
      <c r="C42" s="303">
        <v>75</v>
      </c>
      <c r="D42" s="303"/>
      <c r="E42" s="306">
        <f>AVERAGE(LOOKUP(C42,B!$A$12:$A$165,B!$E$12:$E$165),LOOKUP(C42,B!$A$12:$A$165,B!$F$12:$F$165),LOOKUP(C42,B!$A$12:$A$165,B!$G$12:$G$165),LOOKUP(C42,B!$A$12:$A$165,B!$H$12:$H$165),LOOKUP(C42,B!$A$12:$A$165,B!$I$12:$I$165))</f>
        <v>0.49199999999999999</v>
      </c>
      <c r="F42" s="303">
        <f>SUM(E42:E51)+10*0.79756</f>
        <v>12.967599999999999</v>
      </c>
      <c r="G42" s="303">
        <v>12.96</v>
      </c>
    </row>
    <row r="43" spans="1:7">
      <c r="A43" s="87"/>
      <c r="B43" s="185"/>
      <c r="C43" s="185">
        <v>74</v>
      </c>
      <c r="E43" s="306">
        <f>AVERAGE(LOOKUP(C43,B!$A$12:$A$165,B!$E$12:$E$165),LOOKUP(C43,B!$A$12:$A$165,B!$F$12:$F$165),LOOKUP(C43,B!$A$12:$A$165,B!$G$12:$G$165),LOOKUP(C43,B!$A$12:$A$165,B!$H$12:$H$165),LOOKUP(C43,B!$A$12:$A$165,B!$I$12:$I$165))</f>
        <v>0.49000000000000005</v>
      </c>
      <c r="F43" s="185"/>
      <c r="G43" s="185"/>
    </row>
    <row r="44" spans="1:7">
      <c r="A44" s="87"/>
      <c r="B44" s="185"/>
      <c r="C44" s="185">
        <v>73</v>
      </c>
      <c r="E44" s="306">
        <f>AVERAGE(LOOKUP(C44,B!$A$12:$A$165,B!$E$12:$E$165),LOOKUP(C44,B!$A$12:$A$165,B!$F$12:$F$165),LOOKUP(C44,B!$A$12:$A$165,B!$G$12:$G$165),LOOKUP(C44,B!$A$12:$A$165,B!$H$12:$H$165),LOOKUP(C44,B!$A$12:$A$165,B!$I$12:$I$165))</f>
        <v>0.502</v>
      </c>
      <c r="F44" s="185"/>
      <c r="G44" s="185"/>
    </row>
    <row r="45" spans="1:7">
      <c r="A45" s="87"/>
      <c r="B45" s="185"/>
      <c r="C45" s="185">
        <v>72</v>
      </c>
      <c r="E45" s="306">
        <f>AVERAGE(LOOKUP(C45,B!$A$12:$A$165,B!$E$12:$E$165),LOOKUP(C45,B!$A$12:$A$165,B!$F$12:$F$165),LOOKUP(C45,B!$A$12:$A$165,B!$G$12:$G$165),LOOKUP(C45,B!$A$12:$A$165,B!$H$12:$H$165),LOOKUP(C45,B!$A$12:$A$165,B!$I$12:$I$165))</f>
        <v>0.50800000000000001</v>
      </c>
      <c r="F45" s="185"/>
      <c r="G45" s="185"/>
    </row>
    <row r="46" spans="1:7">
      <c r="A46" s="87"/>
      <c r="B46" s="185"/>
      <c r="C46" s="185">
        <v>71</v>
      </c>
      <c r="E46" s="306">
        <f>AVERAGE(LOOKUP(C46,B!$A$12:$A$165,B!$E$12:$E$165),LOOKUP(C46,B!$A$12:$A$165,B!$F$12:$F$165),LOOKUP(C46,B!$A$12:$A$165,B!$G$12:$G$165),LOOKUP(C46,B!$A$12:$A$165,B!$H$12:$H$165),LOOKUP(C46,B!$A$12:$A$165,B!$I$12:$I$165))</f>
        <v>0.5</v>
      </c>
      <c r="F46" s="185"/>
      <c r="G46" s="185"/>
    </row>
    <row r="47" spans="1:7">
      <c r="A47" s="87"/>
      <c r="B47" s="185"/>
      <c r="C47" s="185">
        <v>70</v>
      </c>
      <c r="E47" s="306">
        <f>AVERAGE(LOOKUP(C47,B!$A$12:$A$165,B!$E$12:$E$165),LOOKUP(C47,B!$A$12:$A$165,B!$F$12:$F$165),LOOKUP(C47,B!$A$12:$A$165,B!$G$12:$G$165),LOOKUP(C47,B!$A$12:$A$165,B!$H$12:$H$165),LOOKUP(C47,B!$A$12:$A$165,B!$I$12:$I$165))</f>
        <v>0.51</v>
      </c>
      <c r="F47" s="185"/>
      <c r="G47" s="185"/>
    </row>
    <row r="48" spans="1:7">
      <c r="A48" s="87"/>
      <c r="B48" s="185"/>
      <c r="C48" s="185">
        <v>69</v>
      </c>
      <c r="E48" s="306">
        <f>AVERAGE(LOOKUP(C48,B!$A$12:$A$165,B!$E$12:$E$165),LOOKUP(C48,B!$A$12:$A$165,B!$F$12:$F$165),LOOKUP(C48,B!$A$12:$A$165,B!$G$12:$G$165),LOOKUP(C48,B!$A$12:$A$165,B!$H$12:$H$165),LOOKUP(C48,B!$A$12:$A$165,B!$I$12:$I$165))</f>
        <v>0.502</v>
      </c>
      <c r="F48" s="185"/>
      <c r="G48" s="185"/>
    </row>
    <row r="49" spans="1:7">
      <c r="A49" s="87"/>
      <c r="B49" s="185"/>
      <c r="C49" s="185">
        <v>68</v>
      </c>
      <c r="E49" s="306">
        <f>AVERAGE(LOOKUP(C49,B!$A$12:$A$165,B!$E$12:$E$165),LOOKUP(C49,B!$A$12:$A$165,B!$F$12:$F$165),LOOKUP(C49,B!$A$12:$A$165,B!$G$12:$G$165),LOOKUP(C49,B!$A$12:$A$165,B!$H$12:$H$165),LOOKUP(C49,B!$A$12:$A$165,B!$I$12:$I$165))</f>
        <v>0.5</v>
      </c>
      <c r="F49" s="185"/>
      <c r="G49" s="185"/>
    </row>
    <row r="50" spans="1:7">
      <c r="A50" s="87"/>
      <c r="B50" s="185"/>
      <c r="C50" s="185">
        <v>67</v>
      </c>
      <c r="E50" s="306">
        <f>AVERAGE(LOOKUP(C50,B!$A$12:$A$165,B!$E$12:$E$165),LOOKUP(C50,B!$A$12:$A$165,B!$F$12:$F$165),LOOKUP(C50,B!$A$12:$A$165,B!$G$12:$G$165),LOOKUP(C50,B!$A$12:$A$165,B!$H$12:$H$165),LOOKUP(C50,B!$A$12:$A$165,B!$I$12:$I$165))</f>
        <v>0.502</v>
      </c>
      <c r="F50" s="185"/>
      <c r="G50" s="185"/>
    </row>
    <row r="51" spans="1:7">
      <c r="A51" s="103"/>
      <c r="B51" s="253" t="s">
        <v>111</v>
      </c>
      <c r="C51" s="253">
        <v>66</v>
      </c>
      <c r="D51" s="103"/>
      <c r="E51" s="314">
        <f>AVERAGE(LOOKUP(C51,B!$A$12:$A$165,B!$E$12:$E$165),LOOKUP(C51,B!$A$12:$A$165,B!$F$12:$F$165),LOOKUP(C51,B!$A$12:$A$165,B!$G$12:$G$165),LOOKUP(C51,B!$A$12:$A$165,B!$H$12:$H$165),LOOKUP(C51,B!$A$12:$A$165,B!$I$12:$I$165))</f>
        <v>0.48599999999999993</v>
      </c>
      <c r="F51" s="253"/>
      <c r="G51" s="253"/>
    </row>
    <row r="52" spans="1:7">
      <c r="A52" s="14"/>
      <c r="B52" s="316"/>
    </row>
  </sheetData>
  <phoneticPr fontId="16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6"/>
  <sheetViews>
    <sheetView workbookViewId="0">
      <selection activeCell="K38" sqref="K38"/>
    </sheetView>
  </sheetViews>
  <sheetFormatPr baseColWidth="10" defaultRowHeight="14" x14ac:dyDescent="0"/>
  <cols>
    <col min="1" max="1" width="18" customWidth="1"/>
    <col min="2" max="2" width="11" customWidth="1"/>
    <col min="4" max="4" width="15.6640625" customWidth="1"/>
    <col min="5" max="5" width="24.6640625" customWidth="1"/>
    <col min="6" max="6" width="37.83203125" customWidth="1"/>
    <col min="7" max="7" width="36.1640625" customWidth="1"/>
  </cols>
  <sheetData>
    <row r="1" spans="1:7" ht="23">
      <c r="A1" s="304" t="s">
        <v>106</v>
      </c>
      <c r="B1" s="304" t="s">
        <v>108</v>
      </c>
      <c r="C1" s="304" t="s">
        <v>144</v>
      </c>
      <c r="D1" s="309" t="s">
        <v>126</v>
      </c>
      <c r="E1" s="304" t="s">
        <v>115</v>
      </c>
      <c r="F1" s="304" t="s">
        <v>117</v>
      </c>
      <c r="G1" s="304" t="s">
        <v>118</v>
      </c>
    </row>
    <row r="2" spans="1:7">
      <c r="A2" s="87" t="s">
        <v>143</v>
      </c>
      <c r="B2" s="185" t="s">
        <v>110</v>
      </c>
      <c r="C2" s="185">
        <v>9</v>
      </c>
      <c r="D2" s="303"/>
      <c r="E2" s="306">
        <f>AVERAGE(LOOKUP(C2,'C (2)'!$A$12:$A$59,'C (2)'!$E$12:$E$59),LOOKUP(C2,'C (2)'!$A$12:$A$59,'C (2)'!$F$12:$F$59),LOOKUP(C2,'C (2)'!$A$12:$A$59,'C (2)'!$G$12:$G$59),LOOKUP(C2,'C (2)'!$A$12:$A$59,'C (2)'!$H$12:$H$59),LOOKUP(C2,'C (2)'!$A$12:$A$59,'C (2)'!$I$12:$I$59),LOOKUP(C2,'C (2)'!$A$12:$A$59,'C (2)'!$J$12:$J$59))</f>
        <v>0.6283333333333333</v>
      </c>
      <c r="F2" s="185">
        <f>SUM(E2:E10)+9*0.8128</f>
        <v>12.966866666666666</v>
      </c>
      <c r="G2" s="185">
        <v>13.01</v>
      </c>
    </row>
    <row r="3" spans="1:7">
      <c r="A3" s="87"/>
      <c r="B3" s="185"/>
      <c r="C3" s="185">
        <v>8</v>
      </c>
      <c r="E3" s="306">
        <f>AVERAGE(LOOKUP(C3,'C (2)'!$A$12:$A$59,'C (2)'!$E$12:$E$59),LOOKUP(C3,'C (2)'!$A$12:$A$59,'C (2)'!$F$12:$F$59),LOOKUP(C3,'C (2)'!$A$12:$A$59,'C (2)'!$G$12:$G$59),LOOKUP(C3,'C (2)'!$A$12:$A$59,'C (2)'!$H$12:$H$59),LOOKUP(C3,'C (2)'!$A$12:$A$59,'C (2)'!$I$12:$I$59),LOOKUP(C3,'C (2)'!$A$12:$A$59,'C (2)'!$J$12:$J$59))</f>
        <v>0.625</v>
      </c>
      <c r="F3" s="185"/>
      <c r="G3" s="185"/>
    </row>
    <row r="4" spans="1:7">
      <c r="A4" s="87"/>
      <c r="B4" s="185"/>
      <c r="C4" s="185">
        <v>7</v>
      </c>
      <c r="E4" s="306">
        <f>AVERAGE(LOOKUP(C4,'C (2)'!$A$12:$A$59,'C (2)'!$E$12:$E$59),LOOKUP(C4,'C (2)'!$A$12:$A$59,'C (2)'!$F$12:$F$59),LOOKUP(C4,'C (2)'!$A$12:$A$59,'C (2)'!$G$12:$G$59),LOOKUP(C4,'C (2)'!$A$12:$A$59,'C (2)'!$H$12:$H$59),LOOKUP(C4,'C (2)'!$A$12:$A$59,'C (2)'!$I$12:$I$59),LOOKUP(C4,'C (2)'!$A$12:$A$59,'C (2)'!$J$12:$J$59))</f>
        <v>0.63</v>
      </c>
      <c r="F4" s="185"/>
      <c r="G4" s="185"/>
    </row>
    <row r="5" spans="1:7">
      <c r="A5" s="87"/>
      <c r="B5" s="185"/>
      <c r="C5" s="185">
        <v>6</v>
      </c>
      <c r="E5" s="306">
        <f>AVERAGE(LOOKUP(C5,'C (2)'!$A$12:$A$59,'C (2)'!$E$12:$E$59),LOOKUP(C5,'C (2)'!$A$12:$A$59,'C (2)'!$F$12:$F$59),LOOKUP(C5,'C (2)'!$A$12:$A$59,'C (2)'!$G$12:$G$59),LOOKUP(C5,'C (2)'!$A$12:$A$59,'C (2)'!$H$12:$H$59),LOOKUP(C5,'C (2)'!$A$12:$A$59,'C (2)'!$I$12:$I$59),LOOKUP(C5,'C (2)'!$A$12:$A$59,'C (2)'!$J$12:$J$59))</f>
        <v>0.625</v>
      </c>
      <c r="F5" s="185"/>
      <c r="G5" s="185"/>
    </row>
    <row r="6" spans="1:7">
      <c r="A6" s="87"/>
      <c r="B6" s="185"/>
      <c r="C6" s="185">
        <v>5</v>
      </c>
      <c r="E6" s="306">
        <f>AVERAGE(LOOKUP(C6,'C (2)'!$A$12:$A$59,'C (2)'!$E$12:$E$59),LOOKUP(C6,'C (2)'!$A$12:$A$59,'C (2)'!$F$12:$F$59),LOOKUP(C6,'C (2)'!$A$12:$A$59,'C (2)'!$G$12:$G$59),LOOKUP(C6,'C (2)'!$A$12:$A$59,'C (2)'!$H$12:$H$59),LOOKUP(C6,'C (2)'!$A$12:$A$59,'C (2)'!$I$12:$I$59),LOOKUP(C6,'C (2)'!$A$12:$A$59,'C (2)'!$J$12:$J$59))</f>
        <v>0.6333333333333333</v>
      </c>
      <c r="F6" s="185"/>
      <c r="G6" s="185"/>
    </row>
    <row r="7" spans="1:7">
      <c r="A7" s="87"/>
      <c r="B7" s="185"/>
      <c r="C7" s="185">
        <v>4</v>
      </c>
      <c r="E7" s="306">
        <f>AVERAGE(LOOKUP(C7,'C (2)'!$A$12:$A$59,'C (2)'!$E$12:$E$59),LOOKUP(C7,'C (2)'!$A$12:$A$59,'C (2)'!$F$12:$F$59),LOOKUP(C7,'C (2)'!$A$12:$A$59,'C (2)'!$G$12:$G$59),LOOKUP(C7,'C (2)'!$A$12:$A$59,'C (2)'!$H$12:$H$59),LOOKUP(C7,'C (2)'!$A$12:$A$59,'C (2)'!$I$12:$I$59),LOOKUP(C7,'C (2)'!$A$12:$A$59,'C (2)'!$J$12:$J$59))</f>
        <v>0.6333333333333333</v>
      </c>
      <c r="F7" s="185"/>
      <c r="G7" s="185"/>
    </row>
    <row r="8" spans="1:7">
      <c r="A8" s="87"/>
      <c r="B8" s="185"/>
      <c r="C8" s="185">
        <v>3</v>
      </c>
      <c r="E8" s="306">
        <f>AVERAGE(LOOKUP(C8,'C (2)'!$A$12:$A$59,'C (2)'!$E$12:$E$59),LOOKUP(C8,'C (2)'!$A$12:$A$59,'C (2)'!$F$12:$F$59),LOOKUP(C8,'C (2)'!$A$12:$A$59,'C (2)'!$G$12:$G$59),LOOKUP(C8,'C (2)'!$A$12:$A$59,'C (2)'!$H$12:$H$59),LOOKUP(C8,'C (2)'!$A$12:$A$59,'C (2)'!$I$12:$I$59),LOOKUP(C8,'C (2)'!$A$12:$A$59,'C (2)'!$J$12:$J$59))</f>
        <v>0.6366666666666666</v>
      </c>
      <c r="F8" s="185"/>
      <c r="G8" s="185"/>
    </row>
    <row r="9" spans="1:7">
      <c r="A9" s="87"/>
      <c r="B9" s="185"/>
      <c r="C9" s="185">
        <v>2</v>
      </c>
      <c r="E9" s="306">
        <f>AVERAGE(LOOKUP(C9,'C (2)'!$A$12:$A$59,'C (2)'!$E$12:$E$59),LOOKUP(C9,'C (2)'!$A$12:$A$59,'C (2)'!$F$12:$F$59),LOOKUP(C9,'C (2)'!$A$12:$A$59,'C (2)'!$G$12:$G$59),LOOKUP(C9,'C (2)'!$A$12:$A$59,'C (2)'!$H$12:$H$59),LOOKUP(C9,'C (2)'!$A$12:$A$59,'C (2)'!$I$12:$I$59),LOOKUP(C9,'C (2)'!$A$12:$A$59,'C (2)'!$J$12:$J$59))</f>
        <v>0.625</v>
      </c>
      <c r="F9" s="185"/>
      <c r="G9" s="185"/>
    </row>
    <row r="10" spans="1:7">
      <c r="A10" s="87"/>
      <c r="B10" s="185" t="s">
        <v>111</v>
      </c>
      <c r="C10" s="185">
        <v>1</v>
      </c>
      <c r="E10" s="314">
        <f>AVERAGE(LOOKUP(C10,'C (2)'!$A$12:$A$59,'C (2)'!$E$12:$E$59),LOOKUP(C10,'C (2)'!$A$12:$A$59,'C (2)'!$F$12:$F$59),LOOKUP(C10,'C (2)'!$A$12:$A$59,'C (2)'!$G$12:$G$59),LOOKUP(C10,'C (2)'!$A$12:$A$59,'C (2)'!$H$12:$H$59),LOOKUP(C10,'C (2)'!$A$12:$A$59,'C (2)'!$I$12:$I$59),LOOKUP(C10,'C (2)'!$A$12:$A$59,'C (2)'!$J$12:$J$59))</f>
        <v>0.61499999999999999</v>
      </c>
      <c r="F10" s="185"/>
      <c r="G10" s="185"/>
    </row>
    <row r="11" spans="1:7">
      <c r="A11" s="14" t="s">
        <v>145</v>
      </c>
      <c r="B11" s="303" t="s">
        <v>110</v>
      </c>
      <c r="C11" s="303">
        <v>19</v>
      </c>
      <c r="D11" s="303"/>
      <c r="E11" s="306">
        <f>AVERAGE(LOOKUP(C11,'C (2)'!$A$12:$A$59,'C (2)'!$E$12:$E$59),LOOKUP(C11,'C (2)'!$A$12:$A$59,'C (2)'!$F$12:$F$59),LOOKUP(C11,'C (2)'!$A$12:$A$59,'C (2)'!$G$12:$G$59),LOOKUP(C11,'C (2)'!$A$12:$A$59,'C (2)'!$H$12:$H$59),LOOKUP(C11,'C (2)'!$A$12:$A$59,'C (2)'!$I$12:$I$59),LOOKUP(C11,'C (2)'!$A$12:$A$59,'C (2)'!$J$12:$J$59))</f>
        <v>0.64</v>
      </c>
      <c r="F11" s="303">
        <f>SUM(E11:E19)+9*0.8128</f>
        <v>12.991866666666667</v>
      </c>
      <c r="G11" s="303">
        <v>13.1</v>
      </c>
    </row>
    <row r="12" spans="1:7">
      <c r="A12" s="87"/>
      <c r="B12" s="185"/>
      <c r="C12" s="185">
        <v>18</v>
      </c>
      <c r="E12" s="306">
        <f>AVERAGE(LOOKUP(C12,'C (2)'!$A$12:$A$59,'C (2)'!$E$12:$E$59),LOOKUP(C12,'C (2)'!$A$12:$A$59,'C (2)'!$F$12:$F$59),LOOKUP(C12,'C (2)'!$A$12:$A$59,'C (2)'!$G$12:$G$59),LOOKUP(C12,'C (2)'!$A$12:$A$59,'C (2)'!$H$12:$H$59),LOOKUP(C12,'C (2)'!$A$12:$A$59,'C (2)'!$I$12:$I$59),LOOKUP(C12,'C (2)'!$A$12:$A$59,'C (2)'!$J$12:$J$59))</f>
        <v>0.63</v>
      </c>
      <c r="F12" s="185"/>
      <c r="G12" s="185"/>
    </row>
    <row r="13" spans="1:7">
      <c r="A13" s="87"/>
      <c r="B13" s="185"/>
      <c r="C13" s="185">
        <v>17</v>
      </c>
      <c r="E13" s="306">
        <f>AVERAGE(LOOKUP(C13,'C (2)'!$A$12:$A$59,'C (2)'!$E$12:$E$59),LOOKUP(C13,'C (2)'!$A$12:$A$59,'C (2)'!$F$12:$F$59),LOOKUP(C13,'C (2)'!$A$12:$A$59,'C (2)'!$G$12:$G$59),LOOKUP(C13,'C (2)'!$A$12:$A$59,'C (2)'!$H$12:$H$59),LOOKUP(C13,'C (2)'!$A$12:$A$59,'C (2)'!$I$12:$I$59),LOOKUP(C13,'C (2)'!$A$12:$A$59,'C (2)'!$J$12:$J$59))</f>
        <v>0.62</v>
      </c>
      <c r="F13" s="185"/>
      <c r="G13" s="185"/>
    </row>
    <row r="14" spans="1:7">
      <c r="A14" s="87"/>
      <c r="B14" s="185"/>
      <c r="C14" s="185">
        <v>16</v>
      </c>
      <c r="E14" s="306">
        <f>AVERAGE(LOOKUP(C14,'C (2)'!$A$12:$A$59,'C (2)'!$E$12:$E$59),LOOKUP(C14,'C (2)'!$A$12:$A$59,'C (2)'!$F$12:$F$59),LOOKUP(C14,'C (2)'!$A$12:$A$59,'C (2)'!$G$12:$G$59),LOOKUP(C14,'C (2)'!$A$12:$A$59,'C (2)'!$H$12:$H$59),LOOKUP(C14,'C (2)'!$A$12:$A$59,'C (2)'!$I$12:$I$59),LOOKUP(C14,'C (2)'!$A$12:$A$59,'C (2)'!$J$12:$J$59))</f>
        <v>0.6333333333333333</v>
      </c>
      <c r="F14" s="185"/>
      <c r="G14" s="185"/>
    </row>
    <row r="15" spans="1:7">
      <c r="A15" s="87"/>
      <c r="B15" s="185"/>
      <c r="C15" s="185">
        <v>15</v>
      </c>
      <c r="E15" s="306">
        <f>AVERAGE(LOOKUP(C15,'C (2)'!$A$12:$A$59,'C (2)'!$E$12:$E$59),LOOKUP(C15,'C (2)'!$A$12:$A$59,'C (2)'!$F$12:$F$59),LOOKUP(C15,'C (2)'!$A$12:$A$59,'C (2)'!$G$12:$G$59),LOOKUP(C15,'C (2)'!$A$12:$A$59,'C (2)'!$H$12:$H$59),LOOKUP(C15,'C (2)'!$A$12:$A$59,'C (2)'!$I$12:$I$59),LOOKUP(C15,'C (2)'!$A$12:$A$59,'C (2)'!$J$12:$J$59))</f>
        <v>0.63</v>
      </c>
      <c r="F15" s="185"/>
      <c r="G15" s="185"/>
    </row>
    <row r="16" spans="1:7">
      <c r="A16" s="87"/>
      <c r="B16" s="185"/>
      <c r="C16" s="185">
        <v>14</v>
      </c>
      <c r="E16" s="306">
        <f>AVERAGE(LOOKUP(C16,'C (2)'!$A$12:$A$59,'C (2)'!$E$12:$E$59),LOOKUP(C16,'C (2)'!$A$12:$A$59,'C (2)'!$F$12:$F$59),LOOKUP(C16,'C (2)'!$A$12:$A$59,'C (2)'!$G$12:$G$59),LOOKUP(C16,'C (2)'!$A$12:$A$59,'C (2)'!$H$12:$H$59),LOOKUP(C16,'C (2)'!$A$12:$A$59,'C (2)'!$I$12:$I$59),LOOKUP(C16,'C (2)'!$A$12:$A$59,'C (2)'!$J$12:$J$59))</f>
        <v>0.64499999999999991</v>
      </c>
      <c r="F16" s="185"/>
      <c r="G16" s="185"/>
    </row>
    <row r="17" spans="1:11">
      <c r="A17" s="87"/>
      <c r="B17" s="185"/>
      <c r="C17" s="185">
        <v>13</v>
      </c>
      <c r="E17" s="306">
        <f>AVERAGE(LOOKUP(C17,'C (2)'!$A$12:$A$59,'C (2)'!$E$12:$E$59),LOOKUP(C17,'C (2)'!$A$12:$A$59,'C (2)'!$F$12:$F$59),LOOKUP(C17,'C (2)'!$A$12:$A$59,'C (2)'!$G$12:$G$59),LOOKUP(C17,'C (2)'!$A$12:$A$59,'C (2)'!$H$12:$H$59),LOOKUP(C17,'C (2)'!$A$12:$A$59,'C (2)'!$I$12:$I$59),LOOKUP(C17,'C (2)'!$A$12:$A$59,'C (2)'!$J$12:$J$59))</f>
        <v>0.63333333333333341</v>
      </c>
      <c r="F17" s="185"/>
      <c r="G17" s="185"/>
    </row>
    <row r="18" spans="1:11">
      <c r="A18" s="87"/>
      <c r="B18" s="185"/>
      <c r="C18" s="185">
        <v>12</v>
      </c>
      <c r="E18" s="306">
        <f>AVERAGE(LOOKUP(C18,'C (2)'!$A$12:$A$59,'C (2)'!$E$12:$E$59),LOOKUP(C18,'C (2)'!$A$12:$A$59,'C (2)'!$F$12:$F$59),LOOKUP(C18,'C (2)'!$A$12:$A$59,'C (2)'!$G$12:$G$59),LOOKUP(C18,'C (2)'!$A$12:$A$59,'C (2)'!$H$12:$H$59),LOOKUP(C18,'C (2)'!$A$12:$A$59,'C (2)'!$I$12:$I$59),LOOKUP(C18,'C (2)'!$A$12:$A$59,'C (2)'!$J$12:$J$59))</f>
        <v>0.6316666666666666</v>
      </c>
      <c r="F18" s="185"/>
      <c r="G18" s="185"/>
    </row>
    <row r="19" spans="1:11">
      <c r="A19" s="87"/>
      <c r="B19" s="185" t="s">
        <v>111</v>
      </c>
      <c r="C19" s="185">
        <v>10</v>
      </c>
      <c r="E19" s="314">
        <f>AVERAGE(LOOKUP(C19,'C (2)'!$A$12:$A$59,'C (2)'!$E$12:$E$59),LOOKUP(C19,'C (2)'!$A$12:$A$59,'C (2)'!$F$12:$F$59),LOOKUP(C19,'C (2)'!$A$12:$A$59,'C (2)'!$G$12:$G$59),LOOKUP(C19,'C (2)'!$A$12:$A$59,'C (2)'!$H$12:$H$59),LOOKUP(C19,'C (2)'!$A$12:$A$59,'C (2)'!$I$12:$I$59),LOOKUP(C19,'C (2)'!$A$12:$A$59,'C (2)'!$J$12:$J$59))</f>
        <v>0.6133333333333334</v>
      </c>
      <c r="F19" s="185"/>
      <c r="G19" s="185"/>
    </row>
    <row r="20" spans="1:11">
      <c r="A20" s="14" t="s">
        <v>146</v>
      </c>
      <c r="B20" s="303" t="s">
        <v>110</v>
      </c>
      <c r="C20" s="303">
        <v>28</v>
      </c>
      <c r="D20" s="303"/>
      <c r="E20" s="306">
        <f>AVERAGE(LOOKUP(C20,'C (2)'!$A$12:$A$59,'C (2)'!$E$12:$E$59),LOOKUP(C20,'C (2)'!$A$12:$A$59,'C (2)'!$F$12:$F$59),LOOKUP(C20,'C (2)'!$A$12:$A$59,'C (2)'!$G$12:$G$59),LOOKUP(C20,'C (2)'!$A$12:$A$59,'C (2)'!$H$12:$H$59),LOOKUP(C20,'C (2)'!$A$12:$A$59,'C (2)'!$I$12:$I$59),LOOKUP(C20,'C (2)'!$A$12:$A$59,'C (2)'!$J$12:$J$59))</f>
        <v>0.63166666666666671</v>
      </c>
      <c r="F20" s="303">
        <f>SUM(E20:E28)+9*0.8128</f>
        <v>13.0002</v>
      </c>
      <c r="G20" s="303">
        <v>13.1</v>
      </c>
    </row>
    <row r="21" spans="1:11">
      <c r="A21" s="87"/>
      <c r="B21" s="185"/>
      <c r="C21" s="185">
        <v>27</v>
      </c>
      <c r="E21" s="306">
        <f>AVERAGE(LOOKUP(C21,'C (2)'!$A$12:$A$59,'C (2)'!$E$12:$E$59),LOOKUP(C21,'C (2)'!$A$12:$A$59,'C (2)'!$F$12:$F$59),LOOKUP(C21,'C (2)'!$A$12:$A$59,'C (2)'!$G$12:$G$59),LOOKUP(C21,'C (2)'!$A$12:$A$59,'C (2)'!$H$12:$H$59),LOOKUP(C21,'C (2)'!$A$12:$A$59,'C (2)'!$I$12:$I$59),LOOKUP(C21,'C (2)'!$A$12:$A$59,'C (2)'!$J$12:$J$59))</f>
        <v>0.62666666666666671</v>
      </c>
      <c r="F21" s="185"/>
      <c r="G21" s="185"/>
    </row>
    <row r="22" spans="1:11">
      <c r="A22" s="87"/>
      <c r="B22" s="185"/>
      <c r="C22" s="185">
        <v>26</v>
      </c>
      <c r="E22" s="306">
        <f>AVERAGE(LOOKUP(C22,'C (2)'!$A$12:$A$59,'C (2)'!$E$12:$E$59),LOOKUP(C22,'C (2)'!$A$12:$A$59,'C (2)'!$F$12:$F$59),LOOKUP(C22,'C (2)'!$A$12:$A$59,'C (2)'!$G$12:$G$59),LOOKUP(C22,'C (2)'!$A$12:$A$59,'C (2)'!$H$12:$H$59),LOOKUP(C22,'C (2)'!$A$12:$A$59,'C (2)'!$I$12:$I$59),LOOKUP(C22,'C (2)'!$A$12:$A$59,'C (2)'!$J$12:$J$59))</f>
        <v>0.63500000000000001</v>
      </c>
      <c r="F22" s="185"/>
      <c r="G22" s="185"/>
    </row>
    <row r="23" spans="1:11">
      <c r="A23" s="87"/>
      <c r="B23" s="185"/>
      <c r="C23" s="185">
        <v>25</v>
      </c>
      <c r="E23" s="306">
        <f>AVERAGE(LOOKUP(C23,'C (2)'!$A$12:$A$59,'C (2)'!$E$12:$E$59),LOOKUP(C23,'C (2)'!$A$12:$A$59,'C (2)'!$F$12:$F$59),LOOKUP(C23,'C (2)'!$A$12:$A$59,'C (2)'!$G$12:$G$59),LOOKUP(C23,'C (2)'!$A$12:$A$59,'C (2)'!$H$12:$H$59),LOOKUP(C23,'C (2)'!$A$12:$A$59,'C (2)'!$I$12:$I$59),LOOKUP(C23,'C (2)'!$A$12:$A$59,'C (2)'!$J$12:$J$59))</f>
        <v>0.6366666666666666</v>
      </c>
      <c r="F23" s="185"/>
      <c r="G23" s="185"/>
    </row>
    <row r="24" spans="1:11">
      <c r="A24" s="87"/>
      <c r="B24" s="185"/>
      <c r="C24" s="185">
        <v>24</v>
      </c>
      <c r="E24" s="306">
        <f>AVERAGE(LOOKUP(C24,'C (2)'!$A$12:$A$59,'C (2)'!$E$12:$E$59),LOOKUP(C24,'C (2)'!$A$12:$A$59,'C (2)'!$F$12:$F$59),LOOKUP(C24,'C (2)'!$A$12:$A$59,'C (2)'!$G$12:$G$59),LOOKUP(C24,'C (2)'!$A$12:$A$59,'C (2)'!$H$12:$H$59),LOOKUP(C24,'C (2)'!$A$12:$A$59,'C (2)'!$I$12:$I$59),LOOKUP(C24,'C (2)'!$A$12:$A$59,'C (2)'!$J$12:$J$59))</f>
        <v>0.6216666666666667</v>
      </c>
      <c r="F24" s="185"/>
      <c r="G24" s="185"/>
    </row>
    <row r="25" spans="1:11">
      <c r="A25" s="87"/>
      <c r="B25" s="185"/>
      <c r="C25" s="185">
        <v>23</v>
      </c>
      <c r="E25" s="306">
        <f>AVERAGE(LOOKUP(C25,'C (2)'!$A$12:$A$59,'C (2)'!$E$12:$E$59),LOOKUP(C25,'C (2)'!$A$12:$A$59,'C (2)'!$F$12:$F$59),LOOKUP(C25,'C (2)'!$A$12:$A$59,'C (2)'!$G$12:$G$59),LOOKUP(C25,'C (2)'!$A$12:$A$59,'C (2)'!$H$12:$H$59),LOOKUP(C25,'C (2)'!$A$12:$A$59,'C (2)'!$I$12:$I$59),LOOKUP(C25,'C (2)'!$A$12:$A$59,'C (2)'!$J$12:$J$59))</f>
        <v>0.63166666666666671</v>
      </c>
      <c r="F25" s="185"/>
      <c r="G25" s="185"/>
    </row>
    <row r="26" spans="1:11">
      <c r="A26" s="87"/>
      <c r="B26" s="185"/>
      <c r="C26" s="185">
        <v>22</v>
      </c>
      <c r="E26" s="306">
        <f>AVERAGE(LOOKUP(C26,'C (2)'!$A$12:$A$59,'C (2)'!$E$12:$E$59),LOOKUP(C26,'C (2)'!$A$12:$A$59,'C (2)'!$F$12:$F$59),LOOKUP(C26,'C (2)'!$A$12:$A$59,'C (2)'!$G$12:$G$59),LOOKUP(C26,'C (2)'!$A$12:$A$59,'C (2)'!$H$12:$H$59),LOOKUP(C26,'C (2)'!$A$12:$A$59,'C (2)'!$I$12:$I$59),LOOKUP(C26,'C (2)'!$A$12:$A$59,'C (2)'!$J$12:$J$59))</f>
        <v>0.63333333333333341</v>
      </c>
      <c r="F26" s="185"/>
      <c r="G26" s="185"/>
    </row>
    <row r="27" spans="1:11">
      <c r="A27" s="87"/>
      <c r="B27" s="185"/>
      <c r="C27" s="185">
        <v>21</v>
      </c>
      <c r="E27" s="306">
        <f>AVERAGE(LOOKUP(C27,'C (2)'!$A$12:$A$59,'C (2)'!$E$12:$E$59),LOOKUP(C27,'C (2)'!$A$12:$A$59,'C (2)'!$F$12:$F$59),LOOKUP(C27,'C (2)'!$A$12:$A$59,'C (2)'!$G$12:$G$59),LOOKUP(C27,'C (2)'!$A$12:$A$59,'C (2)'!$H$12:$H$59),LOOKUP(C27,'C (2)'!$A$12:$A$59,'C (2)'!$I$12:$I$59),LOOKUP(C27,'C (2)'!$A$12:$A$59,'C (2)'!$J$12:$J$59))</f>
        <v>0.64</v>
      </c>
      <c r="F27" s="185"/>
      <c r="G27" s="185"/>
    </row>
    <row r="28" spans="1:11">
      <c r="A28" s="87"/>
      <c r="B28" s="185" t="s">
        <v>111</v>
      </c>
      <c r="C28" s="185">
        <v>20</v>
      </c>
      <c r="E28" s="314">
        <f>AVERAGE(LOOKUP(C28,'C (2)'!$A$12:$A$59,'C (2)'!$E$12:$E$59),LOOKUP(C28,'C (2)'!$A$12:$A$59,'C (2)'!$F$12:$F$59),LOOKUP(C28,'C (2)'!$A$12:$A$59,'C (2)'!$G$12:$G$59),LOOKUP(C28,'C (2)'!$A$12:$A$59,'C (2)'!$H$12:$H$59),LOOKUP(C28,'C (2)'!$A$12:$A$59,'C (2)'!$I$12:$I$59),LOOKUP(C28,'C (2)'!$A$12:$A$59,'C (2)'!$J$12:$J$59))</f>
        <v>0.6283333333333333</v>
      </c>
      <c r="F28" s="185"/>
      <c r="G28" s="185"/>
    </row>
    <row r="29" spans="1:11">
      <c r="A29" s="14" t="s">
        <v>147</v>
      </c>
      <c r="B29" s="303" t="s">
        <v>110</v>
      </c>
      <c r="C29" s="303">
        <v>38</v>
      </c>
      <c r="D29" s="303"/>
      <c r="E29" s="306">
        <f>AVERAGE(LOOKUP(C29,'C (2)'!$A$12:$A$59,'C (2)'!$E$12:$E$59),LOOKUP(C29,'C (2)'!$A$12:$A$59,'C (2)'!$F$12:$F$59),LOOKUP(C29,'C (2)'!$A$12:$A$59,'C (2)'!$G$12:$G$59),LOOKUP(C29,'C (2)'!$A$12:$A$59,'C (2)'!$H$12:$H$59),LOOKUP(C29,'C (2)'!$A$12:$A$59,'C (2)'!$I$12:$I$59),LOOKUP(C29,'C (2)'!$A$12:$A$59,'C (2)'!$J$12:$J$59))</f>
        <v>0.53500000000000003</v>
      </c>
      <c r="F29" s="303">
        <f>SUM(E29:E37)+9*0.8128 +0.4572</f>
        <v>12.5524</v>
      </c>
      <c r="G29" s="303">
        <v>12.2</v>
      </c>
      <c r="H29" t="s">
        <v>210</v>
      </c>
      <c r="K29" t="s">
        <v>211</v>
      </c>
    </row>
    <row r="30" spans="1:11">
      <c r="A30" s="87"/>
      <c r="B30" s="185"/>
      <c r="C30" s="185">
        <v>37</v>
      </c>
      <c r="E30" s="306">
        <f>AVERAGE(LOOKUP(C30,'C (2)'!$A$12:$A$59,'C (2)'!$E$12:$E$59),LOOKUP(C30,'C (2)'!$A$12:$A$59,'C (2)'!$F$12:$F$59),LOOKUP(C30,'C (2)'!$A$12:$A$59,'C (2)'!$G$12:$G$59),LOOKUP(C30,'C (2)'!$A$12:$A$59,'C (2)'!$H$12:$H$59),LOOKUP(C30,'C (2)'!$A$12:$A$59,'C (2)'!$I$12:$I$59),LOOKUP(C30,'C (2)'!$A$12:$A$59,'C (2)'!$J$12:$J$59))</f>
        <v>0.51333333333333331</v>
      </c>
      <c r="F30" s="185"/>
      <c r="G30" s="185"/>
    </row>
    <row r="31" spans="1:11">
      <c r="A31" s="87"/>
      <c r="B31" s="185"/>
      <c r="C31" s="185">
        <v>36</v>
      </c>
      <c r="E31" s="306">
        <f>AVERAGE(LOOKUP(C31,'C (2)'!$A$12:$A$59,'C (2)'!$E$12:$E$59),LOOKUP(C31,'C (2)'!$A$12:$A$59,'C (2)'!$F$12:$F$59),LOOKUP(C31,'C (2)'!$A$12:$A$59,'C (2)'!$G$12:$G$59),LOOKUP(C31,'C (2)'!$A$12:$A$59,'C (2)'!$H$12:$H$59),LOOKUP(C31,'C (2)'!$A$12:$A$59,'C (2)'!$I$12:$I$59),LOOKUP(C31,'C (2)'!$A$12:$A$59,'C (2)'!$J$12:$J$59))</f>
        <v>0.51833333333333331</v>
      </c>
      <c r="F31" s="185"/>
      <c r="G31" s="185"/>
    </row>
    <row r="32" spans="1:11">
      <c r="A32" s="87"/>
      <c r="B32" s="185"/>
      <c r="C32" s="185">
        <v>35</v>
      </c>
      <c r="E32" s="306">
        <f>AVERAGE(LOOKUP(C32,'C (2)'!$A$12:$A$59,'C (2)'!$E$12:$E$59),LOOKUP(C32,'C (2)'!$A$12:$A$59,'C (2)'!$F$12:$F$59),LOOKUP(C32,'C (2)'!$A$12:$A$59,'C (2)'!$G$12:$G$59),LOOKUP(C32,'C (2)'!$A$12:$A$59,'C (2)'!$H$12:$H$59),LOOKUP(C32,'C (2)'!$A$12:$A$59,'C (2)'!$I$12:$I$59),LOOKUP(C32,'C (2)'!$A$12:$A$59,'C (2)'!$J$12:$J$59))</f>
        <v>0.49833333333333335</v>
      </c>
      <c r="F32" s="185"/>
      <c r="G32" s="185"/>
    </row>
    <row r="33" spans="1:11">
      <c r="A33" s="87"/>
      <c r="B33" s="185"/>
      <c r="C33" s="185">
        <v>34</v>
      </c>
      <c r="E33" s="306">
        <f>AVERAGE(LOOKUP(C33,'C (2)'!$A$12:$A$59,'C (2)'!$E$12:$E$59),LOOKUP(C33,'C (2)'!$A$12:$A$59,'C (2)'!$F$12:$F$59),LOOKUP(C33,'C (2)'!$A$12:$A$59,'C (2)'!$G$12:$G$59),LOOKUP(C33,'C (2)'!$A$12:$A$59,'C (2)'!$H$12:$H$59),LOOKUP(C33,'C (2)'!$A$12:$A$59,'C (2)'!$I$12:$I$59),LOOKUP(C33,'C (2)'!$A$12:$A$59,'C (2)'!$J$12:$J$59))</f>
        <v>0.53666666666666674</v>
      </c>
      <c r="F33" s="185"/>
      <c r="G33" s="185"/>
    </row>
    <row r="34" spans="1:11">
      <c r="A34" s="87"/>
      <c r="B34" s="185"/>
      <c r="C34" s="185">
        <v>33</v>
      </c>
      <c r="E34" s="306">
        <f>AVERAGE(LOOKUP(C34,'C (2)'!$A$12:$A$59,'C (2)'!$E$12:$E$59),LOOKUP(C34,'C (2)'!$A$12:$A$59,'C (2)'!$F$12:$F$59),LOOKUP(C34,'C (2)'!$A$12:$A$59,'C (2)'!$G$12:$G$59),LOOKUP(C34,'C (2)'!$A$12:$A$59,'C (2)'!$H$12:$H$59),LOOKUP(C34,'C (2)'!$A$12:$A$59,'C (2)'!$I$12:$I$59),LOOKUP(C34,'C (2)'!$A$12:$A$59,'C (2)'!$J$12:$J$59))</f>
        <v>0.53500000000000003</v>
      </c>
      <c r="F34" s="185"/>
      <c r="G34" s="185"/>
    </row>
    <row r="35" spans="1:11">
      <c r="A35" s="87"/>
      <c r="B35" s="185"/>
      <c r="C35" s="185">
        <v>32</v>
      </c>
      <c r="E35" s="306">
        <f>AVERAGE(LOOKUP(C35,'C (2)'!$A$12:$A$59,'C (2)'!$E$12:$E$59),LOOKUP(C35,'C (2)'!$A$12:$A$59,'C (2)'!$F$12:$F$59),LOOKUP(C35,'C (2)'!$A$12:$A$59,'C (2)'!$G$12:$G$59),LOOKUP(C35,'C (2)'!$A$12:$A$59,'C (2)'!$H$12:$H$59),LOOKUP(C35,'C (2)'!$A$12:$A$59,'C (2)'!$I$12:$I$59),LOOKUP(C35,'C (2)'!$A$12:$A$59,'C (2)'!$J$12:$J$59))</f>
        <v>0.54833333333333345</v>
      </c>
      <c r="F35" s="185"/>
      <c r="G35" s="185"/>
    </row>
    <row r="36" spans="1:11">
      <c r="A36" s="87"/>
      <c r="B36" s="185"/>
      <c r="C36" s="185">
        <v>31</v>
      </c>
      <c r="E36" s="306">
        <f>AVERAGE(LOOKUP(C36,'C (2)'!$A$12:$A$59,'C (2)'!$E$12:$E$59),LOOKUP(C36,'C (2)'!$A$12:$A$59,'C (2)'!$F$12:$F$59),LOOKUP(C36,'C (2)'!$A$12:$A$59,'C (2)'!$G$12:$G$59),LOOKUP(C36,'C (2)'!$A$12:$A$59,'C (2)'!$H$12:$H$59),LOOKUP(C36,'C (2)'!$A$12:$A$59,'C (2)'!$I$12:$I$59),LOOKUP(C36,'C (2)'!$A$12:$A$59,'C (2)'!$J$12:$J$59))</f>
        <v>0.54666666666666675</v>
      </c>
      <c r="F36" s="185"/>
      <c r="G36" s="185"/>
    </row>
    <row r="37" spans="1:11">
      <c r="A37" s="87"/>
      <c r="B37" s="185" t="s">
        <v>111</v>
      </c>
      <c r="C37" s="185">
        <v>30</v>
      </c>
      <c r="E37" s="314">
        <f>AVERAGE(LOOKUP(C37,'C (2)'!$A$12:$A$59,'C (2)'!$E$12:$E$59),LOOKUP(C37,'C (2)'!$A$12:$A$59,'C (2)'!$F$12:$F$59),LOOKUP(C37,'C (2)'!$A$12:$A$59,'C (2)'!$G$12:$G$59),LOOKUP(C37,'C (2)'!$A$12:$A$59,'C (2)'!$H$12:$H$59),LOOKUP(C37,'C (2)'!$A$12:$A$59,'C (2)'!$I$12:$I$59),LOOKUP(C37,'C (2)'!$A$12:$A$59,'C (2)'!$J$12:$J$59))</f>
        <v>0.54833333333333345</v>
      </c>
      <c r="F37" s="185"/>
      <c r="G37" s="185"/>
    </row>
    <row r="38" spans="1:11">
      <c r="A38" s="14" t="s">
        <v>148</v>
      </c>
      <c r="B38" s="303" t="s">
        <v>110</v>
      </c>
      <c r="C38" s="303">
        <v>47</v>
      </c>
      <c r="D38" s="303"/>
      <c r="E38" s="306">
        <f>AVERAGE(LOOKUP(C38,'C (2)'!$A$12:$A$59,'C (2)'!$E$12:$E$59),LOOKUP(C38,'C (2)'!$A$12:$A$59,'C (2)'!$F$12:$F$59),LOOKUP(C38,'C (2)'!$A$12:$A$59,'C (2)'!$G$12:$G$59),LOOKUP(C38,'C (2)'!$A$12:$A$59,'C (2)'!$H$12:$H$59),LOOKUP(C38,'C (2)'!$A$12:$A$59,'C (2)'!$I$12:$I$59),LOOKUP(C38,'C (2)'!$A$12:$A$59,'C (2)'!$J$12:$J$59))</f>
        <v>0.52166666666666661</v>
      </c>
      <c r="F38" s="303">
        <f>SUM(E38:E46)+9*0.8128</f>
        <v>12.151866666666667</v>
      </c>
      <c r="G38" s="303">
        <v>12.3</v>
      </c>
      <c r="H38" t="s">
        <v>210</v>
      </c>
      <c r="K38" t="s">
        <v>211</v>
      </c>
    </row>
    <row r="39" spans="1:11">
      <c r="A39" s="87"/>
      <c r="B39" s="185"/>
      <c r="C39" s="185">
        <v>46</v>
      </c>
      <c r="E39" s="306">
        <f>AVERAGE(LOOKUP(C39,'C (2)'!$A$12:$A$59,'C (2)'!$E$12:$E$59),LOOKUP(C39,'C (2)'!$A$12:$A$59,'C (2)'!$F$12:$F$59),LOOKUP(C39,'C (2)'!$A$12:$A$59,'C (2)'!$G$12:$G$59),LOOKUP(C39,'C (2)'!$A$12:$A$59,'C (2)'!$H$12:$H$59),LOOKUP(C39,'C (2)'!$A$12:$A$59,'C (2)'!$I$12:$I$59),LOOKUP(C39,'C (2)'!$A$12:$A$59,'C (2)'!$J$12:$J$59))</f>
        <v>0.54333333333333333</v>
      </c>
      <c r="F39" s="185"/>
      <c r="G39" s="185"/>
    </row>
    <row r="40" spans="1:11">
      <c r="A40" s="87"/>
      <c r="B40" s="185"/>
      <c r="C40" s="185">
        <v>45</v>
      </c>
      <c r="E40" s="306">
        <f>AVERAGE(LOOKUP(C40,'C (2)'!$A$12:$A$59,'C (2)'!$E$12:$E$59),LOOKUP(C40,'C (2)'!$A$12:$A$59,'C (2)'!$F$12:$F$59),LOOKUP(C40,'C (2)'!$A$12:$A$59,'C (2)'!$G$12:$G$59),LOOKUP(C40,'C (2)'!$A$12:$A$59,'C (2)'!$H$12:$H$59),LOOKUP(C40,'C (2)'!$A$12:$A$59,'C (2)'!$I$12:$I$59),LOOKUP(C40,'C (2)'!$A$12:$A$59,'C (2)'!$J$12:$J$59))</f>
        <v>0.54333333333333345</v>
      </c>
      <c r="F40" s="185"/>
      <c r="G40" s="185"/>
    </row>
    <row r="41" spans="1:11">
      <c r="A41" s="87"/>
      <c r="B41" s="185"/>
      <c r="C41" s="185">
        <v>44</v>
      </c>
      <c r="E41" s="306">
        <f>AVERAGE(LOOKUP(C41,'C (2)'!$A$12:$A$59,'C (2)'!$E$12:$E$59),LOOKUP(C41,'C (2)'!$A$12:$A$59,'C (2)'!$F$12:$F$59),LOOKUP(C41,'C (2)'!$A$12:$A$59,'C (2)'!$G$12:$G$59),LOOKUP(C41,'C (2)'!$A$12:$A$59,'C (2)'!$H$12:$H$59),LOOKUP(C41,'C (2)'!$A$12:$A$59,'C (2)'!$I$12:$I$59),LOOKUP(C41,'C (2)'!$A$12:$A$59,'C (2)'!$J$12:$J$59))</f>
        <v>0.53333333333333333</v>
      </c>
      <c r="F41" s="185"/>
      <c r="G41" s="185"/>
    </row>
    <row r="42" spans="1:11">
      <c r="A42" s="87"/>
      <c r="B42" s="185"/>
      <c r="C42" s="185">
        <v>43</v>
      </c>
      <c r="E42" s="306">
        <f>AVERAGE(LOOKUP(C42,'C (2)'!$A$12:$A$59,'C (2)'!$E$12:$E$59),LOOKUP(C42,'C (2)'!$A$12:$A$59,'C (2)'!$F$12:$F$59),LOOKUP(C42,'C (2)'!$A$12:$A$59,'C (2)'!$G$12:$G$59),LOOKUP(C42,'C (2)'!$A$12:$A$59,'C (2)'!$H$12:$H$59),LOOKUP(C42,'C (2)'!$A$12:$A$59,'C (2)'!$I$12:$I$59),LOOKUP(C42,'C (2)'!$A$12:$A$59,'C (2)'!$J$12:$J$59))</f>
        <v>0.54333333333333333</v>
      </c>
      <c r="F42" s="185"/>
      <c r="G42" s="185"/>
    </row>
    <row r="43" spans="1:11">
      <c r="A43" s="87"/>
      <c r="B43" s="185"/>
      <c r="C43" s="185">
        <v>42</v>
      </c>
      <c r="E43" s="306">
        <f>AVERAGE(LOOKUP(C43,'C (2)'!$A$12:$A$59,'C (2)'!$E$12:$E$59),LOOKUP(C43,'C (2)'!$A$12:$A$59,'C (2)'!$F$12:$F$59),LOOKUP(C43,'C (2)'!$A$12:$A$59,'C (2)'!$G$12:$G$59),LOOKUP(C43,'C (2)'!$A$12:$A$59,'C (2)'!$H$12:$H$59),LOOKUP(C43,'C (2)'!$A$12:$A$59,'C (2)'!$I$12:$I$59),LOOKUP(C43,'C (2)'!$A$12:$A$59,'C (2)'!$J$12:$J$59))</f>
        <v>0.54</v>
      </c>
      <c r="F43" s="185"/>
      <c r="G43" s="185"/>
    </row>
    <row r="44" spans="1:11">
      <c r="A44" s="87"/>
      <c r="B44" s="185"/>
      <c r="C44" s="185">
        <v>41</v>
      </c>
      <c r="E44" s="306">
        <f>AVERAGE(LOOKUP(C44,'C (2)'!$A$12:$A$59,'C (2)'!$E$12:$E$59),LOOKUP(C44,'C (2)'!$A$12:$A$59,'C (2)'!$F$12:$F$59),LOOKUP(C44,'C (2)'!$A$12:$A$59,'C (2)'!$G$12:$G$59),LOOKUP(C44,'C (2)'!$A$12:$A$59,'C (2)'!$H$12:$H$59),LOOKUP(C44,'C (2)'!$A$12:$A$59,'C (2)'!$I$12:$I$59),LOOKUP(C44,'C (2)'!$A$12:$A$59,'C (2)'!$J$12:$J$59))</f>
        <v>0.52500000000000002</v>
      </c>
      <c r="F44" s="185"/>
      <c r="G44" s="185"/>
    </row>
    <row r="45" spans="1:11">
      <c r="A45" s="87"/>
      <c r="B45" s="185"/>
      <c r="C45" s="185">
        <v>40</v>
      </c>
      <c r="E45" s="306">
        <f>AVERAGE(LOOKUP(C45,'C (2)'!$A$12:$A$59,'C (2)'!$E$12:$E$59),LOOKUP(C45,'C (2)'!$A$12:$A$59,'C (2)'!$F$12:$F$59),LOOKUP(C45,'C (2)'!$A$12:$A$59,'C (2)'!$G$12:$G$59),LOOKUP(C45,'C (2)'!$A$12:$A$59,'C (2)'!$H$12:$H$59),LOOKUP(C45,'C (2)'!$A$12:$A$59,'C (2)'!$I$12:$I$59),LOOKUP(C45,'C (2)'!$A$12:$A$59,'C (2)'!$J$12:$J$59))</f>
        <v>0.54166666666666674</v>
      </c>
      <c r="F45" s="185"/>
      <c r="G45" s="185"/>
    </row>
    <row r="46" spans="1:11">
      <c r="A46" s="103"/>
      <c r="B46" s="253" t="s">
        <v>111</v>
      </c>
      <c r="C46" s="253">
        <v>39</v>
      </c>
      <c r="D46" s="103"/>
      <c r="E46" s="314">
        <f>AVERAGE(LOOKUP(C46,'C (2)'!$A$12:$A$59,'C (2)'!$E$12:$E$59),LOOKUP(C46,'C (2)'!$A$12:$A$59,'C (2)'!$F$12:$F$59),LOOKUP(C46,'C (2)'!$A$12:$A$59,'C (2)'!$G$12:$G$59),LOOKUP(C46,'C (2)'!$A$12:$A$59,'C (2)'!$H$12:$H$59),LOOKUP(C46,'C (2)'!$A$12:$A$59,'C (2)'!$I$12:$I$59),LOOKUP(C46,'C (2)'!$A$12:$A$59,'C (2)'!$J$12:$J$59))</f>
        <v>0.54500000000000004</v>
      </c>
      <c r="F46" s="253"/>
      <c r="G46" s="253"/>
    </row>
  </sheetData>
  <phoneticPr fontId="16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workbookViewId="0">
      <selection activeCell="F34" sqref="F34"/>
    </sheetView>
  </sheetViews>
  <sheetFormatPr baseColWidth="10" defaultRowHeight="14" x14ac:dyDescent="0"/>
  <cols>
    <col min="1" max="1" width="17.33203125" customWidth="1"/>
    <col min="4" max="4" width="15.5" customWidth="1"/>
    <col min="5" max="5" width="24.6640625" customWidth="1"/>
    <col min="6" max="7" width="37.83203125" customWidth="1"/>
  </cols>
  <sheetData>
    <row r="1" spans="1:7" ht="23">
      <c r="A1" s="304" t="s">
        <v>106</v>
      </c>
      <c r="B1" s="304" t="s">
        <v>108</v>
      </c>
      <c r="C1" s="304" t="s">
        <v>164</v>
      </c>
      <c r="D1" s="309" t="s">
        <v>126</v>
      </c>
      <c r="E1" s="304" t="s">
        <v>115</v>
      </c>
      <c r="F1" s="304" t="s">
        <v>117</v>
      </c>
      <c r="G1" s="304" t="s">
        <v>118</v>
      </c>
    </row>
    <row r="2" spans="1:7">
      <c r="A2" s="87" t="s">
        <v>152</v>
      </c>
      <c r="B2" s="185" t="s">
        <v>110</v>
      </c>
      <c r="C2" s="185">
        <v>8</v>
      </c>
      <c r="D2" s="303"/>
      <c r="E2" s="306">
        <f>AVERAGE(LOOKUP(C2,D!$A$12:$A$53,D!$E$12:$E$53),LOOKUP(C2,D!$A$12:$A$53,D!$F$12:$F$53),LOOKUP(C2,D!$A$12:$A$53,D!$G$12:$G$53),LOOKUP(C2,D!$A$12:$A$53,D!$H$12:$H$53),LOOKUP(C2,D!$A$12:$A$53,D!$I$12:$I$53),LOOKUP(C2,D!$A$12:$A$53,D!$J$12:$J$53))</f>
        <v>0.7533333333333333</v>
      </c>
      <c r="F2" s="185">
        <f>SUM(E2:E9)+8*0.85598</f>
        <v>12.949506666666666</v>
      </c>
      <c r="G2" s="185">
        <v>13.05</v>
      </c>
    </row>
    <row r="3" spans="1:7">
      <c r="A3" s="87"/>
      <c r="B3" s="185"/>
      <c r="C3" s="185">
        <v>7</v>
      </c>
      <c r="E3" s="306">
        <f>AVERAGE(LOOKUP(C3,D!$A$12:$A$53,D!$E$12:$E$53),LOOKUP(C3,D!$A$12:$A$53,D!$F$12:$F$53),LOOKUP(C3,D!$A$12:$A$53,D!$G$12:$G$53),LOOKUP(C3,D!$A$12:$A$53,D!$H$12:$H$53),LOOKUP(C3,D!$A$12:$A$53,D!$I$12:$I$53),LOOKUP(C3,D!$A$12:$A$53,D!$J$12:$J$53))</f>
        <v>0.77666666666666673</v>
      </c>
      <c r="F3" s="185"/>
      <c r="G3" s="185"/>
    </row>
    <row r="4" spans="1:7">
      <c r="A4" s="87"/>
      <c r="B4" s="185"/>
      <c r="C4" s="185">
        <v>6</v>
      </c>
      <c r="E4" s="306">
        <f>AVERAGE(LOOKUP(C4,D!$A$12:$A$53,D!$E$12:$E$53),LOOKUP(C4,D!$A$12:$A$53,D!$F$12:$F$53),LOOKUP(C4,D!$A$12:$A$53,D!$G$12:$G$53),LOOKUP(C4,D!$A$12:$A$53,D!$H$12:$H$53),LOOKUP(C4,D!$A$12:$A$53,D!$I$12:$I$53),LOOKUP(C4,D!$A$12:$A$53,D!$J$12:$J$53))</f>
        <v>0.76500000000000001</v>
      </c>
      <c r="F4" s="185"/>
      <c r="G4" s="185"/>
    </row>
    <row r="5" spans="1:7">
      <c r="A5" s="87"/>
      <c r="B5" s="185"/>
      <c r="C5" s="185">
        <v>5</v>
      </c>
      <c r="E5" s="306">
        <f>AVERAGE(LOOKUP(C5,D!$A$12:$A$53,D!$E$12:$E$53),LOOKUP(C5,D!$A$12:$A$53,D!$F$12:$F$53),LOOKUP(C5,D!$A$12:$A$53,D!$G$12:$G$53),LOOKUP(C5,D!$A$12:$A$53,D!$H$12:$H$53),LOOKUP(C5,D!$A$12:$A$53,D!$I$12:$I$53),LOOKUP(C5,D!$A$12:$A$53,D!$J$12:$J$53))</f>
        <v>0.76000000000000012</v>
      </c>
      <c r="F5" s="185"/>
      <c r="G5" s="185"/>
    </row>
    <row r="6" spans="1:7">
      <c r="A6" s="87"/>
      <c r="B6" s="185"/>
      <c r="C6" s="185">
        <v>4</v>
      </c>
      <c r="E6" s="306">
        <f>AVERAGE(LOOKUP(C6,D!$A$12:$A$53,D!$E$12:$E$53),LOOKUP(C6,D!$A$12:$A$53,D!$F$12:$F$53),LOOKUP(C6,D!$A$12:$A$53,D!$G$12:$G$53),LOOKUP(C6,D!$A$12:$A$53,D!$H$12:$H$53),LOOKUP(C6,D!$A$12:$A$53,D!$I$12:$I$53),LOOKUP(C6,D!$A$12:$A$53,D!$J$12:$J$53))</f>
        <v>0.75</v>
      </c>
      <c r="F6" s="185"/>
      <c r="G6" s="185"/>
    </row>
    <row r="7" spans="1:7">
      <c r="A7" s="87"/>
      <c r="B7" s="185"/>
      <c r="C7" s="185">
        <v>3</v>
      </c>
      <c r="E7" s="306">
        <f>AVERAGE(LOOKUP(C7,D!$A$12:$A$53,D!$E$12:$E$53),LOOKUP(C7,D!$A$12:$A$53,D!$F$12:$F$53),LOOKUP(C7,D!$A$12:$A$53,D!$G$12:$G$53),LOOKUP(C7,D!$A$12:$A$53,D!$H$12:$H$53),LOOKUP(C7,D!$A$12:$A$53,D!$I$12:$I$53),LOOKUP(C7,D!$A$12:$A$53,D!$J$12:$J$53))</f>
        <v>0.77500000000000002</v>
      </c>
      <c r="F7" s="185"/>
      <c r="G7" s="185"/>
    </row>
    <row r="8" spans="1:7">
      <c r="A8" s="87"/>
      <c r="B8" s="185"/>
      <c r="C8" s="185">
        <v>2</v>
      </c>
      <c r="E8" s="306">
        <f>AVERAGE(LOOKUP(C8,D!$A$12:$A$53,D!$E$12:$E$53),LOOKUP(C8,D!$A$12:$A$53,D!$F$12:$F$53),LOOKUP(C8,D!$A$12:$A$53,D!$G$12:$G$53),LOOKUP(C8,D!$A$12:$A$53,D!$H$12:$H$53),LOOKUP(C8,D!$A$12:$A$53,D!$I$12:$I$53),LOOKUP(C8,D!$A$12:$A$53,D!$J$12:$J$53))</f>
        <v>0.77666666666666673</v>
      </c>
      <c r="F8" s="185"/>
      <c r="G8" s="185"/>
    </row>
    <row r="9" spans="1:7">
      <c r="A9" s="87"/>
      <c r="B9" s="185" t="s">
        <v>111</v>
      </c>
      <c r="C9" s="185">
        <v>1</v>
      </c>
      <c r="E9" s="306">
        <f>AVERAGE(LOOKUP(C9,D!$A$12:$A$53,D!$E$12:$E$53),LOOKUP(C9,D!$A$12:$A$53,D!$F$12:$F$53),LOOKUP(C9,D!$A$12:$A$53,D!$G$12:$G$53),LOOKUP(C9,D!$A$12:$A$53,D!$H$12:$H$53),LOOKUP(C9,D!$A$12:$A$53,D!$I$12:$I$53),LOOKUP(C9,D!$A$12:$A$53,D!$J$12:$J$53))</f>
        <v>0.745</v>
      </c>
      <c r="F9" s="185"/>
      <c r="G9" s="185"/>
    </row>
    <row r="10" spans="1:7">
      <c r="A10" s="14" t="s">
        <v>153</v>
      </c>
      <c r="B10" s="303" t="s">
        <v>110</v>
      </c>
      <c r="C10" s="303">
        <v>16</v>
      </c>
      <c r="D10" s="303"/>
      <c r="E10" s="307">
        <f>AVERAGE(LOOKUP(C10,D!$A$12:$A$53,D!$E$12:$E$53),LOOKUP(C10,D!$A$12:$A$53,D!$F$12:$F$53),LOOKUP(C10,D!$A$12:$A$53,D!$G$12:$G$53),LOOKUP(C10,D!$A$12:$A$53,D!$H$12:$H$53),LOOKUP(C10,D!$A$12:$A$53,D!$I$12:$I$53),LOOKUP(C10,D!$A$12:$A$53,D!$J$12:$J$53))</f>
        <v>0.76333333333333331</v>
      </c>
      <c r="F10" s="303">
        <f>SUM(E10:E17)+8*0.85598</f>
        <v>12.934506666666667</v>
      </c>
      <c r="G10" s="303">
        <v>13.01</v>
      </c>
    </row>
    <row r="11" spans="1:7">
      <c r="A11" s="87"/>
      <c r="B11" s="185"/>
      <c r="C11" s="185">
        <v>15</v>
      </c>
      <c r="E11" s="306">
        <f>AVERAGE(LOOKUP(C11,D!$A$12:$A$53,D!$E$12:$E$53),LOOKUP(C11,D!$A$12:$A$53,D!$F$12:$F$53),LOOKUP(C11,D!$A$12:$A$53,D!$G$12:$G$53),LOOKUP(C11,D!$A$12:$A$53,D!$H$12:$H$53),LOOKUP(C11,D!$A$12:$A$53,D!$I$12:$I$53),LOOKUP(C11,D!$A$12:$A$53,D!$J$12:$J$53))</f>
        <v>0.77166666666666661</v>
      </c>
      <c r="F11" s="185"/>
      <c r="G11" s="185"/>
    </row>
    <row r="12" spans="1:7">
      <c r="A12" s="87"/>
      <c r="B12" s="185"/>
      <c r="C12" s="185">
        <v>14</v>
      </c>
      <c r="E12" s="306">
        <f>AVERAGE(LOOKUP(C12,D!$A$12:$A$53,D!$E$12:$E$53),LOOKUP(C12,D!$A$12:$A$53,D!$F$12:$F$53),LOOKUP(C12,D!$A$12:$A$53,D!$G$12:$G$53),LOOKUP(C12,D!$A$12:$A$53,D!$H$12:$H$53),LOOKUP(C12,D!$A$12:$A$53,D!$I$12:$I$53),LOOKUP(C12,D!$A$12:$A$53,D!$J$12:$J$53))</f>
        <v>0.76500000000000001</v>
      </c>
      <c r="F12" s="185"/>
      <c r="G12" s="185"/>
    </row>
    <row r="13" spans="1:7">
      <c r="A13" s="87"/>
      <c r="B13" s="185"/>
      <c r="C13" s="185">
        <v>13</v>
      </c>
      <c r="E13" s="306">
        <f>AVERAGE(LOOKUP(C13,D!$A$12:$A$53,D!$E$12:$E$53),LOOKUP(C13,D!$A$12:$A$53,D!$F$12:$F$53),LOOKUP(C13,D!$A$12:$A$53,D!$G$12:$G$53),LOOKUP(C13,D!$A$12:$A$53,D!$H$12:$H$53),LOOKUP(C13,D!$A$12:$A$53,D!$I$12:$I$53),LOOKUP(C13,D!$A$12:$A$53,D!$J$12:$J$53))</f>
        <v>0.76666666666666661</v>
      </c>
      <c r="F13" s="185"/>
      <c r="G13" s="185"/>
    </row>
    <row r="14" spans="1:7">
      <c r="A14" s="87"/>
      <c r="B14" s="185"/>
      <c r="C14" s="185">
        <v>12</v>
      </c>
      <c r="E14" s="306">
        <f>AVERAGE(LOOKUP(C14,D!$A$12:$A$53,D!$E$12:$E$53),LOOKUP(C14,D!$A$12:$A$53,D!$F$12:$F$53),LOOKUP(C14,D!$A$12:$A$53,D!$G$12:$G$53),LOOKUP(C14,D!$A$12:$A$53,D!$H$12:$H$53),LOOKUP(C14,D!$A$12:$A$53,D!$I$12:$I$53),LOOKUP(C14,D!$A$12:$A$53,D!$J$12:$J$53))</f>
        <v>0.74500000000000011</v>
      </c>
      <c r="F14" s="185"/>
      <c r="G14" s="185"/>
    </row>
    <row r="15" spans="1:7">
      <c r="A15" s="87"/>
      <c r="B15" s="185"/>
      <c r="C15" s="185">
        <v>11</v>
      </c>
      <c r="E15" s="306">
        <f>AVERAGE(LOOKUP(C15,D!$A$12:$A$53,D!$E$12:$E$53),LOOKUP(C15,D!$A$12:$A$53,D!$F$12:$F$53),LOOKUP(C15,D!$A$12:$A$53,D!$G$12:$G$53),LOOKUP(C15,D!$A$12:$A$53,D!$H$12:$H$53),LOOKUP(C15,D!$A$12:$A$53,D!$I$12:$I$53),LOOKUP(C15,D!$A$12:$A$53,D!$J$12:$J$53))</f>
        <v>0.75</v>
      </c>
      <c r="F15" s="185"/>
      <c r="G15" s="185"/>
    </row>
    <row r="16" spans="1:7">
      <c r="A16" s="87"/>
      <c r="B16" s="185"/>
      <c r="C16" s="185">
        <v>10</v>
      </c>
      <c r="E16" s="306">
        <f>AVERAGE(LOOKUP(C16,D!$A$12:$A$53,D!$E$12:$E$53),LOOKUP(C16,D!$A$12:$A$53,D!$F$12:$F$53),LOOKUP(C16,D!$A$12:$A$53,D!$G$12:$G$53),LOOKUP(C16,D!$A$12:$A$53,D!$H$12:$H$53),LOOKUP(C16,D!$A$12:$A$53,D!$I$12:$I$53),LOOKUP(C16,D!$A$12:$A$53,D!$J$12:$J$53))</f>
        <v>0.76333333333333331</v>
      </c>
      <c r="F16" s="185"/>
      <c r="G16" s="185"/>
    </row>
    <row r="17" spans="1:7">
      <c r="A17" s="87"/>
      <c r="B17" s="185" t="s">
        <v>111</v>
      </c>
      <c r="C17" s="185">
        <v>9</v>
      </c>
      <c r="E17" s="306">
        <f>AVERAGE(LOOKUP(C17,D!$A$12:$A$53,D!$E$12:$E$53),LOOKUP(C17,D!$A$12:$A$53,D!$F$12:$F$53),LOOKUP(C17,D!$A$12:$A$53,D!$G$12:$G$53),LOOKUP(C17,D!$A$12:$A$53,D!$H$12:$H$53),LOOKUP(C17,D!$A$12:$A$53,D!$I$12:$I$53),LOOKUP(C17,D!$A$12:$A$53,D!$J$12:$J$53))</f>
        <v>0.76166666666666671</v>
      </c>
      <c r="F17" s="185"/>
      <c r="G17" s="185"/>
    </row>
    <row r="18" spans="1:7">
      <c r="A18" s="14" t="s">
        <v>154</v>
      </c>
      <c r="B18" s="303" t="s">
        <v>110</v>
      </c>
      <c r="C18" s="303">
        <v>24</v>
      </c>
      <c r="D18" s="303"/>
      <c r="E18" s="307">
        <f>AVERAGE(LOOKUP(C18,D!$A$12:$A$53,D!$E$12:$E$53),LOOKUP(C18,D!$A$12:$A$53,D!$F$12:$F$53),LOOKUP(C18,D!$A$12:$A$53,D!$G$12:$G$53),LOOKUP(C18,D!$A$12:$A$53,D!$H$12:$H$53),LOOKUP(C18,D!$A$12:$A$53,D!$I$12:$I$53),LOOKUP(C18,D!$A$12:$A$53,D!$J$12:$J$53))</f>
        <v>0.77166666666666683</v>
      </c>
      <c r="F18" s="303">
        <f>SUM(E18:E25)+8*0.85598</f>
        <v>13.024506666666667</v>
      </c>
      <c r="G18" s="303">
        <v>13.11</v>
      </c>
    </row>
    <row r="19" spans="1:7">
      <c r="A19" s="87"/>
      <c r="B19" s="185"/>
      <c r="C19" s="185">
        <v>23</v>
      </c>
      <c r="E19" s="306">
        <f>AVERAGE(LOOKUP(C19,D!$A$12:$A$53,D!$E$12:$E$53),LOOKUP(C19,D!$A$12:$A$53,D!$F$12:$F$53),LOOKUP(C19,D!$A$12:$A$53,D!$G$12:$G$53),LOOKUP(C19,D!$A$12:$A$53,D!$H$12:$H$53),LOOKUP(C19,D!$A$12:$A$53,D!$I$12:$I$53),LOOKUP(C19,D!$A$12:$A$53,D!$J$12:$J$53))</f>
        <v>0.78000000000000014</v>
      </c>
      <c r="F19" s="185"/>
      <c r="G19" s="185"/>
    </row>
    <row r="20" spans="1:7">
      <c r="A20" s="87"/>
      <c r="B20" s="185"/>
      <c r="C20" s="185">
        <v>22</v>
      </c>
      <c r="E20" s="306">
        <f>AVERAGE(LOOKUP(C20,D!$A$12:$A$53,D!$E$12:$E$53),LOOKUP(C20,D!$A$12:$A$53,D!$F$12:$F$53),LOOKUP(C20,D!$A$12:$A$53,D!$G$12:$G$53),LOOKUP(C20,D!$A$12:$A$53,D!$H$12:$H$53),LOOKUP(C20,D!$A$12:$A$53,D!$I$12:$I$53),LOOKUP(C20,D!$A$12:$A$53,D!$J$12:$J$53))</f>
        <v>0.78000000000000014</v>
      </c>
      <c r="F20" s="185"/>
      <c r="G20" s="185"/>
    </row>
    <row r="21" spans="1:7">
      <c r="A21" s="87"/>
      <c r="B21" s="185"/>
      <c r="C21" s="185">
        <v>21</v>
      </c>
      <c r="E21" s="306">
        <f>AVERAGE(LOOKUP(C21,D!$A$12:$A$53,D!$E$12:$E$53),LOOKUP(C21,D!$A$12:$A$53,D!$F$12:$F$53),LOOKUP(C21,D!$A$12:$A$53,D!$G$12:$G$53),LOOKUP(C21,D!$A$12:$A$53,D!$H$12:$H$53),LOOKUP(C21,D!$A$12:$A$53,D!$I$12:$I$53),LOOKUP(C21,D!$A$12:$A$53,D!$J$12:$J$53))</f>
        <v>0.7583333333333333</v>
      </c>
      <c r="F21" s="185"/>
      <c r="G21" s="185"/>
    </row>
    <row r="22" spans="1:7">
      <c r="A22" s="87"/>
      <c r="B22" s="185"/>
      <c r="C22" s="185">
        <v>20</v>
      </c>
      <c r="E22" s="306">
        <f>AVERAGE(LOOKUP(C22,D!$A$12:$A$53,D!$E$12:$E$53),LOOKUP(C22,D!$A$12:$A$53,D!$F$12:$F$53),LOOKUP(C22,D!$A$12:$A$53,D!$G$12:$G$53),LOOKUP(C22,D!$A$12:$A$53,D!$H$12:$H$53),LOOKUP(C22,D!$A$12:$A$53,D!$I$12:$I$53),LOOKUP(C22,D!$A$12:$A$53,D!$J$12:$J$53))</f>
        <v>0.77833333333333332</v>
      </c>
      <c r="F22" s="185"/>
      <c r="G22" s="185"/>
    </row>
    <row r="23" spans="1:7">
      <c r="A23" s="87"/>
      <c r="B23" s="185"/>
      <c r="C23" s="185">
        <v>19</v>
      </c>
      <c r="E23" s="306">
        <f>AVERAGE(LOOKUP(C23,D!$A$12:$A$53,D!$E$12:$E$53),LOOKUP(C23,D!$A$12:$A$53,D!$F$12:$F$53),LOOKUP(C23,D!$A$12:$A$53,D!$G$12:$G$53),LOOKUP(C23,D!$A$12:$A$53,D!$H$12:$H$53),LOOKUP(C23,D!$A$12:$A$53,D!$I$12:$I$53),LOOKUP(C23,D!$A$12:$A$53,D!$J$12:$J$53))</f>
        <v>0.75166666666666659</v>
      </c>
      <c r="F23" s="185"/>
      <c r="G23" s="185"/>
    </row>
    <row r="24" spans="1:7">
      <c r="A24" s="87"/>
      <c r="B24" s="185"/>
      <c r="C24" s="185">
        <v>18</v>
      </c>
      <c r="E24" s="306">
        <f>AVERAGE(LOOKUP(C24,D!$A$12:$A$53,D!$E$12:$E$53),LOOKUP(C24,D!$A$12:$A$53,D!$F$12:$F$53),LOOKUP(C24,D!$A$12:$A$53,D!$G$12:$G$53),LOOKUP(C24,D!$A$12:$A$53,D!$H$12:$H$53),LOOKUP(C24,D!$A$12:$A$53,D!$I$12:$I$53),LOOKUP(C24,D!$A$12:$A$53,D!$J$12:$J$53))</f>
        <v>0.78166666666666673</v>
      </c>
      <c r="F24" s="185"/>
      <c r="G24" s="185"/>
    </row>
    <row r="25" spans="1:7">
      <c r="A25" s="87"/>
      <c r="B25" s="185" t="s">
        <v>111</v>
      </c>
      <c r="C25" s="185">
        <v>17</v>
      </c>
      <c r="E25" s="306">
        <f>AVERAGE(LOOKUP(C25,D!$A$12:$A$53,D!$E$12:$E$53),LOOKUP(C25,D!$A$12:$A$53,D!$F$12:$F$53),LOOKUP(C25,D!$A$12:$A$53,D!$G$12:$G$53),LOOKUP(C25,D!$A$12:$A$53,D!$H$12:$H$53),LOOKUP(C25,D!$A$12:$A$53,D!$I$12:$I$53),LOOKUP(C25,D!$A$12:$A$53,D!$J$12:$J$53))</f>
        <v>0.77500000000000002</v>
      </c>
      <c r="F25" s="185"/>
      <c r="G25" s="185"/>
    </row>
    <row r="26" spans="1:7">
      <c r="A26" s="14" t="s">
        <v>155</v>
      </c>
      <c r="B26" s="303" t="s">
        <v>110</v>
      </c>
      <c r="C26" s="303">
        <v>32</v>
      </c>
      <c r="D26" s="303"/>
      <c r="E26" s="307">
        <f>AVERAGE(LOOKUP(C26,D!$A$12:$A$53,D!$E$12:$E$53),LOOKUP(C26,D!$A$12:$A$53,D!$F$12:$F$53),LOOKUP(C26,D!$A$12:$A$53,D!$G$12:$G$53),LOOKUP(C26,D!$A$12:$A$53,D!$H$12:$H$53),LOOKUP(C26,D!$A$12:$A$53,D!$I$12:$I$53),LOOKUP(C26,D!$A$12:$A$53,D!$J$12:$J$53))</f>
        <v>0.77833333333333343</v>
      </c>
      <c r="F26" s="303">
        <f>SUM(E26:E33)+8*0.85598</f>
        <v>12.967839999999999</v>
      </c>
      <c r="G26" s="303">
        <v>13.01</v>
      </c>
    </row>
    <row r="27" spans="1:7">
      <c r="A27" s="87"/>
      <c r="B27" s="185"/>
      <c r="C27" s="185">
        <v>31</v>
      </c>
      <c r="E27" s="306">
        <f>AVERAGE(LOOKUP(C27,D!$A$12:$A$53,D!$E$12:$E$53),LOOKUP(C27,D!$A$12:$A$53,D!$F$12:$F$53),LOOKUP(C27,D!$A$12:$A$53,D!$G$12:$G$53),LOOKUP(C27,D!$A$12:$A$53,D!$H$12:$H$53),LOOKUP(C27,D!$A$12:$A$53,D!$I$12:$I$53),LOOKUP(C27,D!$A$12:$A$53,D!$J$12:$J$53))</f>
        <v>0.75666666666666671</v>
      </c>
      <c r="F27" s="185"/>
      <c r="G27" s="185"/>
    </row>
    <row r="28" spans="1:7">
      <c r="A28" s="87"/>
      <c r="B28" s="185"/>
      <c r="C28" s="185">
        <v>30</v>
      </c>
      <c r="E28" s="306">
        <f>AVERAGE(LOOKUP(C28,D!$A$12:$A$53,D!$E$12:$E$53),LOOKUP(C28,D!$A$12:$A$53,D!$F$12:$F$53),LOOKUP(C28,D!$A$12:$A$53,D!$G$12:$G$53),LOOKUP(C28,D!$A$12:$A$53,D!$H$12:$H$53),LOOKUP(C28,D!$A$12:$A$53,D!$I$12:$I$53),LOOKUP(C28,D!$A$12:$A$53,D!$J$12:$J$53))</f>
        <v>0.74333333333333329</v>
      </c>
      <c r="F28" s="185"/>
      <c r="G28" s="185"/>
    </row>
    <row r="29" spans="1:7">
      <c r="A29" s="87"/>
      <c r="B29" s="185"/>
      <c r="C29" s="185">
        <v>29</v>
      </c>
      <c r="E29" s="306">
        <f>AVERAGE(LOOKUP(C29,D!$A$12:$A$53,D!$E$12:$E$53),LOOKUP(C29,D!$A$12:$A$53,D!$F$12:$F$53),LOOKUP(C29,D!$A$12:$A$53,D!$G$12:$G$53),LOOKUP(C29,D!$A$12:$A$53,D!$H$12:$H$53),LOOKUP(C29,D!$A$12:$A$53,D!$I$12:$I$53),LOOKUP(C29,D!$A$12:$A$53,D!$J$12:$J$53))</f>
        <v>0.76666666666666661</v>
      </c>
      <c r="F29" s="185"/>
      <c r="G29" s="185"/>
    </row>
    <row r="30" spans="1:7">
      <c r="A30" s="87"/>
      <c r="B30" s="185"/>
      <c r="C30" s="185">
        <v>28</v>
      </c>
      <c r="E30" s="306">
        <f>AVERAGE(LOOKUP(C30,D!$A$12:$A$53,D!$E$12:$E$53),LOOKUP(C30,D!$A$12:$A$53,D!$F$12:$F$53),LOOKUP(C30,D!$A$12:$A$53,D!$G$12:$G$53),LOOKUP(C30,D!$A$12:$A$53,D!$H$12:$H$53),LOOKUP(C30,D!$A$12:$A$53,D!$I$12:$I$53),LOOKUP(C30,D!$A$12:$A$53,D!$J$12:$J$53))</f>
        <v>0.76166666666666671</v>
      </c>
      <c r="F30" s="185"/>
      <c r="G30" s="185"/>
    </row>
    <row r="31" spans="1:7">
      <c r="A31" s="87"/>
      <c r="B31" s="185"/>
      <c r="C31" s="185">
        <v>27</v>
      </c>
      <c r="E31" s="306">
        <f>AVERAGE(LOOKUP(C31,D!$A$12:$A$53,D!$E$12:$E$53),LOOKUP(C31,D!$A$12:$A$53,D!$F$12:$F$53),LOOKUP(C31,D!$A$12:$A$53,D!$G$12:$G$53),LOOKUP(C31,D!$A$12:$A$53,D!$H$12:$H$53),LOOKUP(C31,D!$A$12:$A$53,D!$I$12:$I$53),LOOKUP(C31,D!$A$12:$A$53,D!$J$12:$J$53))</f>
        <v>0.76166666666666671</v>
      </c>
      <c r="F31" s="185"/>
      <c r="G31" s="185"/>
    </row>
    <row r="32" spans="1:7">
      <c r="A32" s="87"/>
      <c r="B32" s="185"/>
      <c r="C32" s="185">
        <v>26</v>
      </c>
      <c r="E32" s="306">
        <f>AVERAGE(LOOKUP(C32,D!$A$12:$A$53,D!$E$12:$E$53),LOOKUP(C32,D!$A$12:$A$53,D!$F$12:$F$53),LOOKUP(C32,D!$A$12:$A$53,D!$G$12:$G$53),LOOKUP(C32,D!$A$12:$A$53,D!$H$12:$H$53),LOOKUP(C32,D!$A$12:$A$53,D!$I$12:$I$53),LOOKUP(C32,D!$A$12:$A$53,D!$J$12:$J$53))</f>
        <v>0.78500000000000014</v>
      </c>
      <c r="F32" s="185"/>
      <c r="G32" s="185"/>
    </row>
    <row r="33" spans="1:7">
      <c r="A33" s="87"/>
      <c r="B33" s="185" t="s">
        <v>111</v>
      </c>
      <c r="C33" s="185">
        <v>25</v>
      </c>
      <c r="E33" s="306">
        <f>AVERAGE(LOOKUP(C33,D!$A$12:$A$53,D!$E$12:$E$53),LOOKUP(C33,D!$A$12:$A$53,D!$F$12:$F$53),LOOKUP(C33,D!$A$12:$A$53,D!$G$12:$G$53),LOOKUP(C33,D!$A$12:$A$53,D!$H$12:$H$53),LOOKUP(C33,D!$A$12:$A$53,D!$I$12:$I$53),LOOKUP(C33,D!$A$12:$A$53,D!$J$12:$J$53))</f>
        <v>0.76666666666666661</v>
      </c>
      <c r="F33" s="185"/>
      <c r="G33" s="185"/>
    </row>
    <row r="34" spans="1:7">
      <c r="A34" s="14" t="s">
        <v>156</v>
      </c>
      <c r="B34" s="303" t="s">
        <v>110</v>
      </c>
      <c r="C34" s="303">
        <v>42</v>
      </c>
      <c r="D34" s="303"/>
      <c r="E34" s="307">
        <f>AVERAGE(LOOKUP(C34,D!$A$12:$A$53,D!$E$12:$E$53),LOOKUP(C34,D!$A$12:$A$53,D!$F$12:$F$53),LOOKUP(C34,D!$A$12:$A$53,D!$G$12:$G$53),LOOKUP(C34,D!$A$12:$A$53,D!$H$12:$H$53),LOOKUP(C34,D!$A$12:$A$53,D!$I$12:$I$53),LOOKUP(C34,D!$A$12:$A$53,D!$J$12:$J$53))</f>
        <v>0.78000000000000014</v>
      </c>
      <c r="F34" s="303">
        <f>SUM(E34:E41)+8*0.85598</f>
        <v>13.091173333333334</v>
      </c>
      <c r="G34" s="303">
        <v>13.13</v>
      </c>
    </row>
    <row r="35" spans="1:7">
      <c r="A35" s="87"/>
      <c r="B35" s="185"/>
      <c r="C35" s="185">
        <v>41</v>
      </c>
      <c r="E35" s="306">
        <f>AVERAGE(LOOKUP(C35,D!$A$12:$A$53,D!$E$12:$E$53),LOOKUP(C35,D!$A$12:$A$53,D!$F$12:$F$53),LOOKUP(C35,D!$A$12:$A$53,D!$G$12:$G$53),LOOKUP(C35,D!$A$12:$A$53,D!$H$12:$H$53),LOOKUP(C35,D!$A$12:$A$53,D!$I$12:$I$53),LOOKUP(C35,D!$A$12:$A$53,D!$J$12:$J$53))</f>
        <v>0.77</v>
      </c>
      <c r="F35" s="185"/>
      <c r="G35" s="185"/>
    </row>
    <row r="36" spans="1:7">
      <c r="A36" s="87"/>
      <c r="B36" s="185"/>
      <c r="C36" s="185">
        <v>40</v>
      </c>
      <c r="E36" s="306">
        <f>AVERAGE(LOOKUP(C36,D!$A$12:$A$53,D!$E$12:$E$53),LOOKUP(C36,D!$A$12:$A$53,D!$F$12:$F$53),LOOKUP(C36,D!$A$12:$A$53,D!$G$12:$G$53),LOOKUP(C36,D!$A$12:$A$53,D!$H$12:$H$53),LOOKUP(C36,D!$A$12:$A$53,D!$I$12:$I$53),LOOKUP(C36,D!$A$12:$A$53,D!$J$12:$J$53))</f>
        <v>0.78833333333333322</v>
      </c>
      <c r="F36" s="185"/>
      <c r="G36" s="185"/>
    </row>
    <row r="37" spans="1:7">
      <c r="A37" s="87"/>
      <c r="B37" s="185"/>
      <c r="C37" s="185">
        <v>39</v>
      </c>
      <c r="E37" s="306">
        <f>AVERAGE(LOOKUP(C37,D!$A$12:$A$53,D!$E$12:$E$53),LOOKUP(C37,D!$A$12:$A$53,D!$F$12:$F$53),LOOKUP(C37,D!$A$12:$A$53,D!$G$12:$G$53),LOOKUP(C37,D!$A$12:$A$53,D!$H$12:$H$53),LOOKUP(C37,D!$A$12:$A$53,D!$I$12:$I$53),LOOKUP(C37,D!$A$12:$A$53,D!$J$12:$J$53))</f>
        <v>0.77666666666666673</v>
      </c>
      <c r="F37" s="185"/>
      <c r="G37" s="185"/>
    </row>
    <row r="38" spans="1:7">
      <c r="A38" s="87"/>
      <c r="B38" s="185"/>
      <c r="C38" s="185">
        <v>38</v>
      </c>
      <c r="E38" s="306">
        <f>AVERAGE(LOOKUP(C38,D!$A$12:$A$53,D!$E$12:$E$53),LOOKUP(C38,D!$A$12:$A$53,D!$F$12:$F$53),LOOKUP(C38,D!$A$12:$A$53,D!$G$12:$G$53),LOOKUP(C38,D!$A$12:$A$53,D!$H$12:$H$53),LOOKUP(C38,D!$A$12:$A$53,D!$I$12:$I$53),LOOKUP(C38,D!$A$12:$A$53,D!$J$12:$J$53))</f>
        <v>0.79</v>
      </c>
      <c r="F38" s="185"/>
      <c r="G38" s="185"/>
    </row>
    <row r="39" spans="1:7">
      <c r="A39" s="87"/>
      <c r="B39" s="185"/>
      <c r="C39" s="185">
        <v>37</v>
      </c>
      <c r="E39" s="306">
        <f>AVERAGE(LOOKUP(C39,D!$A$12:$A$53,D!$E$12:$E$53),LOOKUP(C39,D!$A$12:$A$53,D!$F$12:$F$53),LOOKUP(C39,D!$A$12:$A$53,D!$G$12:$G$53),LOOKUP(C39,D!$A$12:$A$53,D!$H$12:$H$53),LOOKUP(C39,D!$A$12:$A$53,D!$I$12:$I$53),LOOKUP(C39,D!$A$12:$A$53,D!$J$12:$J$53))</f>
        <v>0.79666666666666675</v>
      </c>
      <c r="F39" s="185"/>
      <c r="G39" s="185"/>
    </row>
    <row r="40" spans="1:7">
      <c r="A40" s="87"/>
      <c r="B40" s="185"/>
      <c r="C40" s="185">
        <v>36</v>
      </c>
      <c r="E40" s="306">
        <f>AVERAGE(LOOKUP(C40,D!$A$12:$A$53,D!$E$12:$E$53),LOOKUP(C40,D!$A$12:$A$53,D!$F$12:$F$53),LOOKUP(C40,D!$A$12:$A$53,D!$G$12:$G$53),LOOKUP(C40,D!$A$12:$A$53,D!$H$12:$H$53),LOOKUP(C40,D!$A$12:$A$53,D!$I$12:$I$53),LOOKUP(C40,D!$A$12:$A$53,D!$J$12:$J$53))</f>
        <v>0.77666666666666684</v>
      </c>
      <c r="F40" s="185"/>
      <c r="G40" s="185"/>
    </row>
    <row r="41" spans="1:7">
      <c r="A41" s="103"/>
      <c r="B41" s="253" t="s">
        <v>111</v>
      </c>
      <c r="C41" s="253">
        <v>35</v>
      </c>
      <c r="D41" s="103" t="s">
        <v>157</v>
      </c>
      <c r="E41" s="306">
        <f>AVERAGE(LOOKUP(C41,D!$A$12:$A$53,D!$E$12:$E$53),LOOKUP(C41,D!$A$12:$A$53,D!$F$12:$F$53),LOOKUP(C41,D!$A$12:$A$53,D!$G$12:$G$53),LOOKUP(C41,D!$A$12:$A$53,D!$H$12:$H$53),LOOKUP(C41,D!$A$12:$A$53,D!$I$12:$I$53),LOOKUP(C41,D!$A$12:$A$53,D!$J$12:$J$53))</f>
        <v>0.76500000000000001</v>
      </c>
      <c r="F41" s="253"/>
      <c r="G41" s="253"/>
    </row>
    <row r="42" spans="1:7">
      <c r="E42" s="14"/>
    </row>
  </sheetData>
  <phoneticPr fontId="16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F9" sqref="F9"/>
    </sheetView>
  </sheetViews>
  <sheetFormatPr baseColWidth="10" defaultRowHeight="14" x14ac:dyDescent="0"/>
  <cols>
    <col min="1" max="1" width="17.83203125" customWidth="1"/>
    <col min="4" max="4" width="16.33203125" customWidth="1"/>
    <col min="5" max="5" width="24.83203125" customWidth="1"/>
    <col min="6" max="7" width="37.5" customWidth="1"/>
  </cols>
  <sheetData>
    <row r="1" spans="1:7" ht="23">
      <c r="A1" s="304" t="s">
        <v>106</v>
      </c>
      <c r="B1" s="304" t="s">
        <v>108</v>
      </c>
      <c r="C1" s="304" t="s">
        <v>163</v>
      </c>
      <c r="D1" s="309" t="s">
        <v>126</v>
      </c>
      <c r="E1" s="304" t="s">
        <v>115</v>
      </c>
      <c r="F1" s="304" t="s">
        <v>117</v>
      </c>
      <c r="G1" s="304" t="s">
        <v>118</v>
      </c>
    </row>
    <row r="2" spans="1:7">
      <c r="A2" s="87" t="s">
        <v>158</v>
      </c>
      <c r="B2" s="185" t="s">
        <v>110</v>
      </c>
      <c r="C2" s="185">
        <v>9</v>
      </c>
      <c r="D2" s="303"/>
      <c r="E2" s="306">
        <f>AVERAGE(LOOKUP(C2,E!$A$12:$A$48,E!$E$12:$E$48),LOOKUP(C2,E!$A$12:$A$48,E!$F$12:$F$48),LOOKUP(C2,E!$A$12:$A$48,E!$G$12:$G$48),LOOKUP(C2,E!$A$12:$A$48,E!$H$12:$H$48),LOOKUP(C2,E!$A$12:$A$48,E!$I$12:$I$48),LOOKUP(C2,E!$A$12:$A$48,E!$J$12:$J$48))</f>
        <v>0.91666666666666663</v>
      </c>
      <c r="F2" s="185">
        <f>SUM(E2:E8)+7*0.96266</f>
        <v>13.031953333333334</v>
      </c>
      <c r="G2" s="185">
        <v>13.19</v>
      </c>
    </row>
    <row r="3" spans="1:7">
      <c r="A3" s="87"/>
      <c r="B3" s="185"/>
      <c r="C3" s="185">
        <v>8</v>
      </c>
      <c r="E3" s="306">
        <f>AVERAGE(LOOKUP(C3,E!$A$12:$A$48,E!$E$12:$E$48),LOOKUP(C3,E!$A$12:$A$48,E!$F$12:$F$48),LOOKUP(C3,E!$A$12:$A$48,E!$G$12:$G$48),LOOKUP(C3,E!$A$12:$A$48,E!$H$12:$H$48),LOOKUP(C3,E!$A$12:$A$48,E!$I$12:$I$48),LOOKUP(C3,E!$A$12:$A$48,E!$J$12:$J$48))</f>
        <v>0.90666666666666673</v>
      </c>
      <c r="F3" s="185"/>
      <c r="G3" s="185"/>
    </row>
    <row r="4" spans="1:7">
      <c r="A4" s="87"/>
      <c r="B4" s="185"/>
      <c r="C4" s="185">
        <v>7</v>
      </c>
      <c r="E4" s="306">
        <f>AVERAGE(LOOKUP(C4,E!$A$12:$A$48,E!$E$12:$E$48),LOOKUP(C4,E!$A$12:$A$48,E!$F$12:$F$48),LOOKUP(C4,E!$A$12:$A$48,E!$G$12:$G$48),LOOKUP(C4,E!$A$12:$A$48,E!$H$12:$H$48),LOOKUP(C4,E!$A$12:$A$48,E!$I$12:$I$48),LOOKUP(C4,E!$A$12:$A$48,E!$J$12:$J$48))</f>
        <v>0.8833333333333333</v>
      </c>
      <c r="F4" s="185"/>
      <c r="G4" s="185"/>
    </row>
    <row r="5" spans="1:7">
      <c r="A5" s="87"/>
      <c r="B5" s="185"/>
      <c r="C5" s="185">
        <v>6</v>
      </c>
      <c r="E5" s="306">
        <f>AVERAGE(LOOKUP(C5,E!$A$12:$A$48,E!$E$12:$E$48),LOOKUP(C5,E!$A$12:$A$48,E!$F$12:$F$48),LOOKUP(C5,E!$A$12:$A$48,E!$G$12:$G$48),LOOKUP(C5,E!$A$12:$A$48,E!$H$12:$H$48),LOOKUP(C5,E!$A$12:$A$48,E!$I$12:$I$48),LOOKUP(C5,E!$A$12:$A$48,E!$J$12:$J$48))</f>
        <v>0.90833333333333333</v>
      </c>
      <c r="F5" s="185"/>
      <c r="G5" s="185"/>
    </row>
    <row r="6" spans="1:7">
      <c r="A6" s="87"/>
      <c r="B6" s="185"/>
      <c r="C6" s="185">
        <v>5</v>
      </c>
      <c r="E6" s="306">
        <f>AVERAGE(LOOKUP(C6,E!$A$12:$A$48,E!$E$12:$E$48),LOOKUP(C6,E!$A$12:$A$48,E!$F$12:$F$48),LOOKUP(C6,E!$A$12:$A$48,E!$G$12:$G$48),LOOKUP(C6,E!$A$12:$A$48,E!$H$12:$H$48),LOOKUP(C6,E!$A$12:$A$48,E!$I$12:$I$48),LOOKUP(C6,E!$A$12:$A$48,E!$J$12:$J$48))</f>
        <v>0.89666666666666661</v>
      </c>
      <c r="F6" s="185"/>
      <c r="G6" s="185"/>
    </row>
    <row r="7" spans="1:7">
      <c r="A7" s="87"/>
      <c r="B7" s="185"/>
      <c r="C7" s="185">
        <v>3</v>
      </c>
      <c r="E7" s="306">
        <f>AVERAGE(LOOKUP(C7,E!$A$12:$A$48,E!$E$12:$E$48),LOOKUP(C7,E!$A$12:$A$48,E!$F$12:$F$48),LOOKUP(C7,E!$A$12:$A$48,E!$G$12:$G$48),LOOKUP(C7,E!$A$12:$A$48,E!$H$12:$H$48),LOOKUP(C7,E!$A$12:$A$48,E!$I$12:$I$48),LOOKUP(C7,E!$A$12:$A$48,E!$J$12:$J$48))</f>
        <v>0.89166666666666672</v>
      </c>
      <c r="F7" s="185"/>
      <c r="G7" s="185"/>
    </row>
    <row r="8" spans="1:7">
      <c r="A8" s="87"/>
      <c r="B8" s="185" t="s">
        <v>111</v>
      </c>
      <c r="C8" s="185">
        <v>2</v>
      </c>
      <c r="E8" s="314">
        <f>AVERAGE(LOOKUP(C8,E!$A$12:$A$48,E!$E$12:$E$48),LOOKUP(C8,E!$A$12:$A$48,E!$F$12:$F$48),LOOKUP(C8,E!$A$12:$A$48,E!$G$12:$G$48),LOOKUP(C8,E!$A$12:$A$48,E!$H$12:$H$48),LOOKUP(C8,E!$A$12:$A$48,E!$I$12:$I$48),LOOKUP(C8,E!$A$12:$A$48,E!$J$12:$J$48))</f>
        <v>0.89</v>
      </c>
      <c r="F8" s="185"/>
      <c r="G8" s="185"/>
    </row>
    <row r="9" spans="1:7">
      <c r="A9" s="14" t="s">
        <v>159</v>
      </c>
      <c r="B9" s="303" t="s">
        <v>110</v>
      </c>
      <c r="C9" s="303">
        <v>19</v>
      </c>
      <c r="D9" s="303"/>
      <c r="E9" s="306">
        <f>AVERAGE(LOOKUP(C9,E!$A$12:$A$48,E!$E$12:$E$48),LOOKUP(C9,E!$A$12:$A$48,E!$F$12:$F$48),LOOKUP(C9,E!$A$12:$A$48,E!$G$12:$G$48),LOOKUP(C9,E!$A$12:$A$48,E!$H$12:$H$48),LOOKUP(C9,E!$A$12:$A$48,E!$I$12:$I$48),LOOKUP(C9,E!$A$12:$A$48,E!$J$12:$J$48))</f>
        <v>0.8833333333333333</v>
      </c>
      <c r="F9" s="303">
        <f>SUM(E9:E15)+7*0.96266</f>
        <v>12.916953333333332</v>
      </c>
      <c r="G9" s="303">
        <v>13.14</v>
      </c>
    </row>
    <row r="10" spans="1:7">
      <c r="A10" s="87"/>
      <c r="B10" s="185"/>
      <c r="C10" s="185">
        <v>18</v>
      </c>
      <c r="E10" s="306">
        <f>AVERAGE(LOOKUP(C10,E!$A$12:$A$48,E!$E$12:$E$48),LOOKUP(C10,E!$A$12:$A$48,E!$F$12:$F$48),LOOKUP(C10,E!$A$12:$A$48,E!$G$12:$G$48),LOOKUP(C10,E!$A$12:$A$48,E!$H$12:$H$48),LOOKUP(C10,E!$A$12:$A$48,E!$I$12:$I$48),LOOKUP(C10,E!$A$12:$A$48,E!$J$12:$J$48))</f>
        <v>0.8833333333333333</v>
      </c>
      <c r="F10" s="185"/>
      <c r="G10" s="185"/>
    </row>
    <row r="11" spans="1:7">
      <c r="A11" s="87"/>
      <c r="B11" s="185"/>
      <c r="C11" s="185">
        <v>17</v>
      </c>
      <c r="E11" s="306">
        <f>AVERAGE(LOOKUP(C11,E!$A$12:$A$48,E!$E$12:$E$48),LOOKUP(C11,E!$A$12:$A$48,E!$F$12:$F$48),LOOKUP(C11,E!$A$12:$A$48,E!$G$12:$G$48),LOOKUP(C11,E!$A$12:$A$48,E!$H$12:$H$48),LOOKUP(C11,E!$A$12:$A$48,E!$I$12:$I$48),LOOKUP(C11,E!$A$12:$A$48,E!$J$12:$J$48))</f>
        <v>0.89</v>
      </c>
      <c r="F11" s="185"/>
      <c r="G11" s="185"/>
    </row>
    <row r="12" spans="1:7">
      <c r="A12" s="87"/>
      <c r="B12" s="185"/>
      <c r="C12" s="185">
        <v>16</v>
      </c>
      <c r="E12" s="306">
        <f>AVERAGE(LOOKUP(C12,E!$A$12:$A$48,E!$E$12:$E$48),LOOKUP(C12,E!$A$12:$A$48,E!$F$12:$F$48),LOOKUP(C12,E!$A$12:$A$48,E!$G$12:$G$48),LOOKUP(C12,E!$A$12:$A$48,E!$H$12:$H$48),LOOKUP(C12,E!$A$12:$A$48,E!$I$12:$I$48),LOOKUP(C12,E!$A$12:$A$48,E!$J$12:$J$48))</f>
        <v>0.8666666666666667</v>
      </c>
      <c r="F12" s="185"/>
      <c r="G12" s="185"/>
    </row>
    <row r="13" spans="1:7">
      <c r="A13" s="87"/>
      <c r="B13" s="185"/>
      <c r="C13" s="185">
        <v>14</v>
      </c>
      <c r="E13" s="306">
        <f>AVERAGE(LOOKUP(C13,E!$A$12:$A$48,E!$E$12:$E$48),LOOKUP(C13,E!$A$12:$A$48,E!$F$12:$F$48),LOOKUP(C13,E!$A$12:$A$48,E!$G$12:$G$48),LOOKUP(C13,E!$A$12:$A$48,E!$H$12:$H$48),LOOKUP(C13,E!$A$12:$A$48,E!$I$12:$I$48),LOOKUP(C13,E!$A$12:$A$48,E!$J$12:$J$48))</f>
        <v>0.8849999999999999</v>
      </c>
      <c r="F13" s="185"/>
      <c r="G13" s="185"/>
    </row>
    <row r="14" spans="1:7">
      <c r="A14" s="87"/>
      <c r="B14" s="185"/>
      <c r="C14" s="185">
        <v>13</v>
      </c>
      <c r="E14" s="306">
        <f>AVERAGE(LOOKUP(C14,E!$A$12:$A$48,E!$E$12:$E$48),LOOKUP(C14,E!$A$12:$A$48,E!$F$12:$F$48),LOOKUP(C14,E!$A$12:$A$48,E!$G$12:$G$48),LOOKUP(C14,E!$A$12:$A$48,E!$H$12:$H$48),LOOKUP(C14,E!$A$12:$A$48,E!$I$12:$I$48),LOOKUP(C14,E!$A$12:$A$48,E!$J$12:$J$48))</f>
        <v>0.87999999999999989</v>
      </c>
      <c r="F14" s="185"/>
      <c r="G14" s="185"/>
    </row>
    <row r="15" spans="1:7">
      <c r="A15" s="87"/>
      <c r="B15" s="185" t="s">
        <v>111</v>
      </c>
      <c r="C15" s="185">
        <v>10</v>
      </c>
      <c r="E15" s="314">
        <f>AVERAGE(LOOKUP(C15,E!$A$12:$A$48,E!$E$12:$E$48),LOOKUP(C15,E!$A$12:$A$48,E!$F$12:$F$48),LOOKUP(C15,E!$A$12:$A$48,E!$G$12:$G$48),LOOKUP(C15,E!$A$12:$A$48,E!$H$12:$H$48),LOOKUP(C15,E!$A$12:$A$48,E!$I$12:$I$48),LOOKUP(C15,E!$A$12:$A$48,E!$J$12:$J$48))</f>
        <v>0.89</v>
      </c>
      <c r="F15" s="185"/>
      <c r="G15" s="185"/>
    </row>
    <row r="16" spans="1:7">
      <c r="A16" s="14" t="s">
        <v>160</v>
      </c>
      <c r="B16" s="303" t="s">
        <v>110</v>
      </c>
      <c r="C16" s="303">
        <v>30</v>
      </c>
      <c r="D16" s="303"/>
      <c r="E16" s="306">
        <f>AVERAGE(LOOKUP(C16,E!$A$12:$A$48,E!$E$12:$E$48),LOOKUP(C16,E!$A$12:$A$48,E!$F$12:$F$48),LOOKUP(C16,E!$A$12:$A$48,E!$G$12:$G$48),LOOKUP(C16,E!$A$12:$A$48,E!$H$12:$H$48),LOOKUP(C16,E!$A$12:$A$48,E!$I$12:$I$48),LOOKUP(C16,E!$A$12:$A$48,E!$J$12:$J$48))</f>
        <v>0.90500000000000014</v>
      </c>
      <c r="F16" s="303">
        <f>SUM(E16:E22)+7*0.96266</f>
        <v>12.995286666666665</v>
      </c>
      <c r="G16" s="303">
        <v>13.18</v>
      </c>
    </row>
    <row r="17" spans="1:7">
      <c r="A17" s="87"/>
      <c r="B17" s="185"/>
      <c r="C17" s="185">
        <v>29</v>
      </c>
      <c r="E17" s="306">
        <f>AVERAGE(LOOKUP(C17,E!$A$12:$A$48,E!$E$12:$E$48),LOOKUP(C17,E!$A$12:$A$48,E!$F$12:$F$48),LOOKUP(C17,E!$A$12:$A$48,E!$G$12:$G$48),LOOKUP(C17,E!$A$12:$A$48,E!$H$12:$H$48),LOOKUP(C17,E!$A$12:$A$48,E!$I$12:$I$48),LOOKUP(C17,E!$A$12:$A$48,E!$J$12:$J$48))</f>
        <v>0.89166666666666661</v>
      </c>
      <c r="F17" s="185"/>
      <c r="G17" s="185"/>
    </row>
    <row r="18" spans="1:7">
      <c r="A18" s="87"/>
      <c r="B18" s="185"/>
      <c r="C18" s="185">
        <v>27</v>
      </c>
      <c r="E18" s="306">
        <f>AVERAGE(LOOKUP(C18,E!$A$12:$A$48,E!$E$12:$E$48),LOOKUP(C18,E!$A$12:$A$48,E!$F$12:$F$48),LOOKUP(C18,E!$A$12:$A$48,E!$G$12:$G$48),LOOKUP(C18,E!$A$12:$A$48,E!$H$12:$H$48),LOOKUP(C18,E!$A$12:$A$48,E!$I$12:$I$48),LOOKUP(C18,E!$A$12:$A$48,E!$J$12:$J$48))</f>
        <v>0.875</v>
      </c>
      <c r="F18" s="185"/>
      <c r="G18" s="185"/>
    </row>
    <row r="19" spans="1:7">
      <c r="A19" s="87"/>
      <c r="B19" s="185"/>
      <c r="C19" s="185">
        <v>26</v>
      </c>
      <c r="E19" s="306">
        <f>AVERAGE(LOOKUP(C19,E!$A$12:$A$48,E!$E$12:$E$48),LOOKUP(C19,E!$A$12:$A$48,E!$F$12:$F$48),LOOKUP(C19,E!$A$12:$A$48,E!$G$12:$G$48),LOOKUP(C19,E!$A$12:$A$48,E!$H$12:$H$48),LOOKUP(C19,E!$A$12:$A$48,E!$I$12:$I$48),LOOKUP(C19,E!$A$12:$A$48,E!$J$12:$J$48))</f>
        <v>0.88833333333333331</v>
      </c>
      <c r="F19" s="185"/>
      <c r="G19" s="185"/>
    </row>
    <row r="20" spans="1:7">
      <c r="A20" s="87"/>
      <c r="B20" s="185"/>
      <c r="C20" s="185">
        <v>25</v>
      </c>
      <c r="E20" s="306">
        <f>AVERAGE(LOOKUP(C20,E!$A$12:$A$48,E!$E$12:$E$48),LOOKUP(C20,E!$A$12:$A$48,E!$F$12:$F$48),LOOKUP(C20,E!$A$12:$A$48,E!$G$12:$G$48),LOOKUP(C20,E!$A$12:$A$48,E!$H$12:$H$48),LOOKUP(C20,E!$A$12:$A$48,E!$I$12:$I$48),LOOKUP(C20,E!$A$12:$A$48,E!$J$12:$J$48))</f>
        <v>0.8933333333333332</v>
      </c>
      <c r="F20" s="185"/>
      <c r="G20" s="185"/>
    </row>
    <row r="21" spans="1:7">
      <c r="A21" s="87"/>
      <c r="B21" s="185"/>
      <c r="C21" s="185">
        <v>24</v>
      </c>
      <c r="E21" s="306">
        <f>AVERAGE(LOOKUP(C21,E!$A$12:$A$48,E!$E$12:$E$48),LOOKUP(C21,E!$A$12:$A$48,E!$F$12:$F$48),LOOKUP(C21,E!$A$12:$A$48,E!$G$12:$G$48),LOOKUP(C21,E!$A$12:$A$48,E!$H$12:$H$48),LOOKUP(C21,E!$A$12:$A$48,E!$I$12:$I$48),LOOKUP(C21,E!$A$12:$A$48,E!$J$12:$J$48))</f>
        <v>0.89500000000000002</v>
      </c>
      <c r="F21" s="185"/>
      <c r="G21" s="185"/>
    </row>
    <row r="22" spans="1:7">
      <c r="A22" s="87"/>
      <c r="B22" s="185" t="s">
        <v>111</v>
      </c>
      <c r="C22" s="185">
        <v>20</v>
      </c>
      <c r="E22" s="314">
        <f>AVERAGE(LOOKUP(C22,E!$A$12:$A$48,E!$E$12:$E$48),LOOKUP(C22,E!$A$12:$A$48,E!$F$12:$F$48),LOOKUP(C22,E!$A$12:$A$48,E!$G$12:$G$48),LOOKUP(C22,E!$A$12:$A$48,E!$H$12:$H$48),LOOKUP(C22,E!$A$12:$A$48,E!$I$12:$I$48),LOOKUP(C22,E!$A$12:$A$48,E!$J$12:$J$48))</f>
        <v>0.90833333333333333</v>
      </c>
      <c r="F22" s="185"/>
      <c r="G22" s="185"/>
    </row>
    <row r="23" spans="1:7">
      <c r="A23" s="14" t="s">
        <v>161</v>
      </c>
      <c r="B23" s="303" t="s">
        <v>110</v>
      </c>
      <c r="C23" s="303">
        <v>37</v>
      </c>
      <c r="D23" s="303"/>
      <c r="E23" s="306">
        <f>AVERAGE(LOOKUP(C23,E!$A$12:$A$48,E!$E$12:$E$48),LOOKUP(C23,E!$A$12:$A$48,E!$F$12:$F$48),LOOKUP(C23,E!$A$12:$A$48,E!$G$12:$G$48),LOOKUP(C23,E!$A$12:$A$48,E!$H$12:$H$48),LOOKUP(C23,E!$A$12:$A$48,E!$I$12:$I$48),LOOKUP(C23,E!$A$12:$A$48,E!$J$12:$J$48))</f>
        <v>0.89</v>
      </c>
      <c r="F23" s="303">
        <f>SUM(E23:E29)+7*0.96266</f>
        <v>13.050286666666665</v>
      </c>
      <c r="G23" s="303">
        <v>13.3</v>
      </c>
    </row>
    <row r="24" spans="1:7">
      <c r="A24" s="87"/>
      <c r="B24" s="185"/>
      <c r="C24" s="185">
        <v>36</v>
      </c>
      <c r="E24" s="306">
        <f>AVERAGE(LOOKUP(C24,E!$A$12:$A$48,E!$E$12:$E$48),LOOKUP(C24,E!$A$12:$A$48,E!$F$12:$F$48),LOOKUP(C24,E!$A$12:$A$48,E!$G$12:$G$48),LOOKUP(C24,E!$A$12:$A$48,E!$H$12:$H$48),LOOKUP(C24,E!$A$12:$A$48,E!$I$12:$I$48),LOOKUP(C24,E!$A$12:$A$48,E!$J$12:$J$48))</f>
        <v>0.91166666666666674</v>
      </c>
      <c r="F24" s="185"/>
      <c r="G24" s="185"/>
    </row>
    <row r="25" spans="1:7">
      <c r="A25" s="87"/>
      <c r="B25" s="185"/>
      <c r="C25" s="185">
        <v>35</v>
      </c>
      <c r="E25" s="306">
        <f>AVERAGE(LOOKUP(C25,E!$A$12:$A$48,E!$E$12:$E$48),LOOKUP(C25,E!$A$12:$A$48,E!$F$12:$F$48),LOOKUP(C25,E!$A$12:$A$48,E!$G$12:$G$48),LOOKUP(C25,E!$A$12:$A$48,E!$H$12:$H$48),LOOKUP(C25,E!$A$12:$A$48,E!$I$12:$I$48),LOOKUP(C25,E!$A$12:$A$48,E!$J$12:$J$48))</f>
        <v>0.8849999999999999</v>
      </c>
      <c r="F25" s="185"/>
      <c r="G25" s="185"/>
    </row>
    <row r="26" spans="1:7">
      <c r="A26" s="87"/>
      <c r="B26" s="185"/>
      <c r="C26" s="185">
        <v>34</v>
      </c>
      <c r="E26" s="306">
        <f>AVERAGE(LOOKUP(C26,E!$A$12:$A$48,E!$E$12:$E$48),LOOKUP(C26,E!$A$12:$A$48,E!$F$12:$F$48),LOOKUP(C26,E!$A$12:$A$48,E!$G$12:$G$48),LOOKUP(C26,E!$A$12:$A$48,E!$H$12:$H$48),LOOKUP(C26,E!$A$12:$A$48,E!$I$12:$I$48),LOOKUP(C26,E!$A$12:$A$48,E!$J$12:$J$48))</f>
        <v>0.8866666666666666</v>
      </c>
      <c r="F26" s="185"/>
      <c r="G26" s="185"/>
    </row>
    <row r="27" spans="1:7">
      <c r="A27" s="87"/>
      <c r="B27" s="185"/>
      <c r="C27" s="185">
        <v>33</v>
      </c>
      <c r="E27" s="306">
        <f>AVERAGE(LOOKUP(C27,E!$A$12:$A$48,E!$E$12:$E$48),LOOKUP(C27,E!$A$12:$A$48,E!$F$12:$F$48),LOOKUP(C27,E!$A$12:$A$48,E!$G$12:$G$48),LOOKUP(C27,E!$A$12:$A$48,E!$H$12:$H$48),LOOKUP(C27,E!$A$12:$A$48,E!$I$12:$I$48),LOOKUP(C27,E!$A$12:$A$48,E!$J$12:$J$48))</f>
        <v>0.92333333333333334</v>
      </c>
      <c r="F27" s="185"/>
      <c r="G27" s="185"/>
    </row>
    <row r="28" spans="1:7">
      <c r="A28" s="87"/>
      <c r="B28" s="185"/>
      <c r="C28" s="185">
        <v>32</v>
      </c>
      <c r="E28" s="306">
        <f>AVERAGE(LOOKUP(C28,E!$A$12:$A$48,E!$E$12:$E$48),LOOKUP(C28,E!$A$12:$A$48,E!$F$12:$F$48),LOOKUP(C28,E!$A$12:$A$48,E!$G$12:$G$48),LOOKUP(C28,E!$A$12:$A$48,E!$H$12:$H$48),LOOKUP(C28,E!$A$12:$A$48,E!$I$12:$I$48),LOOKUP(C28,E!$A$12:$A$48,E!$J$12:$J$48))</f>
        <v>0.90833333333333333</v>
      </c>
      <c r="F28" s="185"/>
      <c r="G28" s="185"/>
    </row>
    <row r="29" spans="1:7">
      <c r="A29" s="323"/>
      <c r="B29" s="324" t="s">
        <v>111</v>
      </c>
      <c r="C29" s="324">
        <v>31</v>
      </c>
      <c r="D29" s="323"/>
      <c r="E29" s="314">
        <f>AVERAGE(LOOKUP(C29,E!$A$12:$A$48,E!$E$12:$E$48),LOOKUP(C29,E!$A$12:$A$48,E!$F$12:$F$48),LOOKUP(C29,E!$A$12:$A$48,E!$G$12:$G$48),LOOKUP(C29,E!$A$12:$A$48,E!$H$12:$H$48),LOOKUP(C29,E!$A$12:$A$48,E!$I$12:$I$48),LOOKUP(C29,E!$A$12:$A$48,E!$J$12:$J$48))</f>
        <v>0.90666666666666673</v>
      </c>
      <c r="F29" s="324"/>
      <c r="G29" s="324"/>
    </row>
  </sheetData>
  <phoneticPr fontId="16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93"/>
  <sheetViews>
    <sheetView view="pageBreakPreview" topLeftCell="A145" zoomScale="85" zoomScaleNormal="70" zoomScaleSheetLayoutView="85" zoomScalePageLayoutView="70" workbookViewId="0">
      <selection activeCell="K172" sqref="K172"/>
    </sheetView>
  </sheetViews>
  <sheetFormatPr baseColWidth="10" defaultColWidth="8.83203125" defaultRowHeight="14" x14ac:dyDescent="0"/>
  <cols>
    <col min="1" max="1" width="6.33203125" customWidth="1"/>
    <col min="2" max="2" width="16.1640625" customWidth="1"/>
    <col min="3" max="4" width="5.1640625" customWidth="1"/>
    <col min="5" max="9" width="5.5" customWidth="1"/>
    <col min="10" max="10" width="3.1640625" bestFit="1" customWidth="1"/>
    <col min="11" max="12" width="6.83203125" customWidth="1"/>
    <col min="13" max="16" width="3.6640625" customWidth="1"/>
    <col min="17" max="17" width="11.33203125" customWidth="1"/>
    <col min="18" max="18" width="5.5" customWidth="1"/>
    <col min="19" max="19" width="5.6640625" customWidth="1"/>
    <col min="20" max="21" width="9.83203125" customWidth="1"/>
    <col min="22" max="22" width="10.1640625" bestFit="1" customWidth="1"/>
    <col min="23" max="23" width="10.5" bestFit="1" customWidth="1"/>
    <col min="24" max="24" width="9.33203125" customWidth="1"/>
    <col min="25" max="25" width="9.5" customWidth="1"/>
    <col min="26" max="26" width="6.1640625" customWidth="1"/>
    <col min="28" max="28" width="6.1640625" style="147" customWidth="1"/>
    <col min="29" max="31" width="6.1640625" customWidth="1"/>
  </cols>
  <sheetData>
    <row r="1" spans="1:34">
      <c r="A1" s="383" t="s">
        <v>49</v>
      </c>
      <c r="B1" s="383"/>
      <c r="C1" s="79"/>
      <c r="D1" s="79"/>
      <c r="E1" s="80"/>
      <c r="F1" s="80"/>
      <c r="G1" s="80"/>
      <c r="H1" s="80"/>
      <c r="I1" s="80"/>
      <c r="J1" s="80"/>
      <c r="K1" s="79"/>
      <c r="L1" s="79"/>
      <c r="M1" s="1"/>
      <c r="N1" s="79"/>
      <c r="O1" s="79"/>
      <c r="P1" s="79"/>
      <c r="Q1" s="1"/>
      <c r="R1" s="78"/>
      <c r="S1" s="78"/>
      <c r="T1" s="78"/>
      <c r="U1" s="78"/>
      <c r="V1" s="79"/>
      <c r="W1" s="1"/>
      <c r="X1" s="79"/>
      <c r="Y1" s="79"/>
      <c r="Z1" s="79"/>
      <c r="AB1" s="191"/>
      <c r="AC1" s="79"/>
      <c r="AD1" s="79"/>
      <c r="AE1" s="1"/>
      <c r="AF1" s="1"/>
      <c r="AG1" s="1"/>
      <c r="AH1" s="1"/>
    </row>
    <row r="2" spans="1:34">
      <c r="A2" s="383" t="s">
        <v>48</v>
      </c>
      <c r="B2" s="383"/>
      <c r="C2" s="79"/>
      <c r="D2" s="79"/>
      <c r="E2" s="80"/>
      <c r="F2" s="80"/>
      <c r="G2" s="80"/>
      <c r="H2" s="80"/>
      <c r="I2" s="80"/>
      <c r="J2" s="80"/>
      <c r="K2" s="79"/>
      <c r="L2" s="79"/>
      <c r="M2" s="1"/>
      <c r="N2" s="79"/>
      <c r="O2" s="79"/>
      <c r="P2" s="79"/>
      <c r="Q2" s="1"/>
      <c r="R2" s="78"/>
      <c r="S2" s="78"/>
      <c r="T2" s="78"/>
      <c r="U2" s="78"/>
      <c r="V2" s="79"/>
      <c r="W2" s="1"/>
      <c r="X2" s="79"/>
      <c r="Y2" s="79"/>
      <c r="Z2" s="79"/>
      <c r="AB2" s="191"/>
      <c r="AC2" s="79"/>
      <c r="AD2" s="79"/>
      <c r="AE2" s="1"/>
      <c r="AF2" s="1"/>
      <c r="AG2" s="1"/>
      <c r="AH2" s="1"/>
    </row>
    <row r="3" spans="1:34">
      <c r="A3" s="383" t="s">
        <v>47</v>
      </c>
      <c r="B3" s="383"/>
      <c r="C3" s="79"/>
      <c r="D3" s="79"/>
      <c r="E3" s="80"/>
      <c r="F3" s="80"/>
      <c r="G3" s="80"/>
      <c r="H3" s="80"/>
      <c r="I3" s="80"/>
      <c r="J3" s="80"/>
      <c r="K3" s="79"/>
      <c r="L3" s="79"/>
      <c r="M3" s="1"/>
      <c r="N3" s="79"/>
      <c r="O3" s="79"/>
      <c r="P3" s="79"/>
      <c r="Q3" s="1"/>
      <c r="R3" s="78"/>
      <c r="S3" s="78"/>
      <c r="T3" s="78"/>
      <c r="U3" s="78"/>
      <c r="V3" s="79"/>
      <c r="W3" s="1"/>
      <c r="X3" s="79"/>
      <c r="Y3" s="79"/>
      <c r="Z3" s="79"/>
      <c r="AB3" s="191"/>
      <c r="AC3" s="79"/>
      <c r="AD3" s="79"/>
      <c r="AE3" s="1"/>
      <c r="AF3" s="1"/>
      <c r="AG3" s="1"/>
      <c r="AH3" s="1"/>
    </row>
    <row r="4" spans="1:34">
      <c r="A4" s="1"/>
      <c r="B4" s="79"/>
      <c r="C4" s="79"/>
      <c r="D4" s="79"/>
      <c r="E4" s="80"/>
      <c r="F4" s="80"/>
      <c r="G4" s="80"/>
      <c r="H4" s="80"/>
      <c r="I4" s="80"/>
      <c r="J4" s="80"/>
      <c r="K4" s="79"/>
      <c r="L4" s="79"/>
      <c r="M4" s="1"/>
      <c r="N4" s="79"/>
      <c r="O4" s="79"/>
      <c r="P4" s="79"/>
      <c r="Q4" s="1"/>
      <c r="R4" s="78"/>
      <c r="S4" s="78"/>
      <c r="T4" s="78"/>
      <c r="U4" s="78"/>
      <c r="V4" s="79"/>
      <c r="W4" s="1"/>
      <c r="X4" s="79"/>
      <c r="Y4" s="79"/>
      <c r="Z4" s="79"/>
      <c r="AB4" s="191"/>
      <c r="AC4" s="79"/>
      <c r="AD4" s="79"/>
      <c r="AE4" s="1"/>
      <c r="AF4" s="1"/>
      <c r="AG4" s="1"/>
      <c r="AH4" s="1"/>
    </row>
    <row r="5" spans="1:34">
      <c r="A5" s="1"/>
      <c r="B5" s="79" t="s">
        <v>46</v>
      </c>
      <c r="C5" s="79" t="s">
        <v>45</v>
      </c>
      <c r="D5" s="79"/>
      <c r="E5" s="80"/>
      <c r="F5" s="80"/>
      <c r="G5" s="80"/>
      <c r="H5" s="80"/>
      <c r="I5" s="80"/>
      <c r="J5" s="80"/>
      <c r="K5" s="79"/>
      <c r="L5" s="79"/>
      <c r="M5" s="1"/>
      <c r="N5" s="79"/>
      <c r="O5" s="79"/>
      <c r="P5" s="79"/>
      <c r="Q5" s="1"/>
      <c r="R5" s="78"/>
      <c r="S5" s="78"/>
      <c r="T5" s="78"/>
      <c r="U5" s="78"/>
      <c r="V5" s="79"/>
      <c r="W5" s="1"/>
      <c r="X5" s="79"/>
      <c r="Y5" s="79"/>
      <c r="Z5" s="79"/>
      <c r="AB5" s="191"/>
      <c r="AC5" s="79"/>
      <c r="AD5" s="79"/>
      <c r="AE5" s="1"/>
      <c r="AF5" s="1"/>
      <c r="AG5" s="1"/>
      <c r="AH5" s="1"/>
    </row>
    <row r="6" spans="1:34">
      <c r="A6" s="1" t="s">
        <v>66</v>
      </c>
      <c r="B6" s="79">
        <v>0.02</v>
      </c>
      <c r="C6" s="79">
        <f>B6*25.4</f>
        <v>0.50800000000000001</v>
      </c>
      <c r="D6" s="79"/>
      <c r="E6" s="80"/>
      <c r="F6" s="80"/>
      <c r="G6" s="80"/>
      <c r="H6" s="80"/>
      <c r="I6" s="80"/>
      <c r="J6" s="80"/>
      <c r="K6" s="79"/>
      <c r="L6" s="79"/>
      <c r="M6" s="1"/>
      <c r="N6" s="79"/>
      <c r="O6" s="79"/>
      <c r="P6" s="79"/>
      <c r="Q6" s="1"/>
      <c r="R6" s="78"/>
      <c r="S6" s="78"/>
      <c r="T6" s="78"/>
      <c r="U6" s="78"/>
      <c r="V6" s="79"/>
      <c r="W6" s="1"/>
      <c r="X6" s="79"/>
      <c r="Y6" s="79"/>
      <c r="Z6" s="79"/>
      <c r="AB6" s="191"/>
      <c r="AC6" s="79"/>
      <c r="AD6" s="79"/>
      <c r="AE6" s="1"/>
      <c r="AF6" s="1"/>
      <c r="AG6" s="1"/>
      <c r="AH6" s="1"/>
    </row>
    <row r="7" spans="1:34">
      <c r="A7" s="1"/>
      <c r="B7" s="79"/>
      <c r="C7" s="79"/>
      <c r="D7" s="79"/>
      <c r="E7" s="80"/>
      <c r="F7" s="80"/>
      <c r="G7" s="80"/>
      <c r="H7" s="80"/>
      <c r="I7" s="80"/>
      <c r="J7" s="80"/>
      <c r="K7" s="79"/>
      <c r="L7" s="79"/>
      <c r="M7" s="1"/>
      <c r="N7" s="79"/>
      <c r="O7" s="79"/>
      <c r="P7" s="79"/>
      <c r="Q7" s="1"/>
      <c r="R7" s="78"/>
      <c r="S7" s="78"/>
      <c r="T7" s="78"/>
      <c r="U7" s="78"/>
      <c r="V7" s="79"/>
      <c r="W7" s="1"/>
      <c r="X7" s="79"/>
      <c r="Y7" s="79"/>
      <c r="Z7" s="79"/>
      <c r="AB7" s="191"/>
      <c r="AC7" s="79"/>
      <c r="AD7" s="79"/>
      <c r="AE7" s="1"/>
      <c r="AF7" s="1"/>
      <c r="AG7" s="1"/>
      <c r="AH7" s="1"/>
    </row>
    <row r="8" spans="1:34">
      <c r="A8" s="77" t="s">
        <v>54</v>
      </c>
      <c r="B8" s="79"/>
      <c r="C8" s="79"/>
      <c r="D8" s="79"/>
      <c r="E8" s="80"/>
      <c r="F8" s="80"/>
      <c r="G8" s="80"/>
      <c r="H8" s="80"/>
      <c r="I8" s="80"/>
      <c r="J8" s="80"/>
      <c r="K8" s="79"/>
      <c r="L8" s="79"/>
      <c r="M8" s="1"/>
      <c r="N8" s="79"/>
      <c r="O8" s="79"/>
      <c r="P8" s="79"/>
      <c r="Q8" s="1"/>
      <c r="R8" s="78"/>
      <c r="S8" s="78"/>
      <c r="T8" s="78"/>
      <c r="U8" s="78"/>
      <c r="V8" s="77" t="s">
        <v>42</v>
      </c>
      <c r="W8" s="1"/>
      <c r="X8" s="79"/>
      <c r="Z8" s="79"/>
      <c r="AB8" s="191"/>
      <c r="AC8" s="79"/>
      <c r="AD8" s="79"/>
      <c r="AE8" s="1"/>
      <c r="AF8" s="1"/>
      <c r="AG8" s="1"/>
      <c r="AH8" s="1"/>
    </row>
    <row r="9" spans="1:34" ht="42">
      <c r="A9" s="71" t="s">
        <v>32</v>
      </c>
      <c r="B9" s="76" t="s">
        <v>41</v>
      </c>
      <c r="C9" s="386" t="s">
        <v>40</v>
      </c>
      <c r="D9" s="387"/>
      <c r="E9" s="385" t="s">
        <v>39</v>
      </c>
      <c r="F9" s="385"/>
      <c r="G9" s="385"/>
      <c r="H9" s="385"/>
      <c r="I9" s="385"/>
      <c r="J9" s="75"/>
      <c r="K9" s="386" t="s">
        <v>38</v>
      </c>
      <c r="L9" s="387"/>
      <c r="M9" s="386" t="s">
        <v>37</v>
      </c>
      <c r="N9" s="384"/>
      <c r="O9" s="384"/>
      <c r="P9" s="384"/>
      <c r="Q9" s="74" t="s">
        <v>36</v>
      </c>
      <c r="R9" s="21" t="s">
        <v>35</v>
      </c>
      <c r="S9" s="72" t="s">
        <v>34</v>
      </c>
      <c r="T9" s="19" t="s">
        <v>33</v>
      </c>
      <c r="U9" s="19"/>
      <c r="V9" s="19" t="s">
        <v>32</v>
      </c>
      <c r="W9" s="19" t="s">
        <v>65</v>
      </c>
      <c r="X9" s="69" t="s">
        <v>31</v>
      </c>
      <c r="Y9" s="68" t="s">
        <v>30</v>
      </c>
      <c r="Z9" s="19" t="s">
        <v>29</v>
      </c>
      <c r="AA9" s="67" t="s">
        <v>51</v>
      </c>
      <c r="AB9" s="190" t="s">
        <v>27</v>
      </c>
      <c r="AC9" s="1"/>
      <c r="AD9" s="1"/>
      <c r="AE9" s="1"/>
      <c r="AF9" s="1"/>
      <c r="AG9" s="1"/>
      <c r="AH9" s="1"/>
    </row>
    <row r="10" spans="1:34" s="57" customFormat="1">
      <c r="A10" s="65"/>
      <c r="B10" s="62"/>
      <c r="C10" s="133">
        <v>1</v>
      </c>
      <c r="D10" s="134">
        <v>2</v>
      </c>
      <c r="E10" s="62">
        <v>1</v>
      </c>
      <c r="F10" s="62">
        <v>2</v>
      </c>
      <c r="G10" s="62">
        <v>3</v>
      </c>
      <c r="H10" s="62">
        <v>4</v>
      </c>
      <c r="I10" s="62">
        <v>5</v>
      </c>
      <c r="J10" s="62">
        <v>6</v>
      </c>
      <c r="K10" s="64">
        <v>1</v>
      </c>
      <c r="L10" s="63">
        <v>2</v>
      </c>
      <c r="M10" s="64">
        <v>1</v>
      </c>
      <c r="N10" s="62">
        <v>2</v>
      </c>
      <c r="O10" s="62">
        <v>3</v>
      </c>
      <c r="P10" s="61">
        <v>4</v>
      </c>
      <c r="Q10" s="60"/>
      <c r="R10" s="189"/>
      <c r="S10" s="60"/>
      <c r="T10" s="59"/>
      <c r="U10" s="59"/>
      <c r="V10" s="59"/>
      <c r="W10" s="59"/>
      <c r="X10" s="59"/>
      <c r="Y10" s="59"/>
      <c r="Z10" s="59"/>
      <c r="AA10" s="58"/>
      <c r="AB10" s="188"/>
      <c r="AC10" s="10"/>
      <c r="AD10" s="10"/>
      <c r="AE10" s="10"/>
      <c r="AF10" s="10"/>
      <c r="AG10" s="10"/>
      <c r="AH10" s="10"/>
    </row>
    <row r="11" spans="1:34">
      <c r="A11" s="12"/>
      <c r="B11" s="55"/>
      <c r="C11" s="177"/>
      <c r="D11" s="187"/>
      <c r="E11" s="47"/>
      <c r="F11" s="47"/>
      <c r="G11" s="47"/>
      <c r="H11" s="47"/>
      <c r="I11" s="47"/>
      <c r="J11" s="47"/>
      <c r="K11" s="177"/>
      <c r="L11" s="187"/>
      <c r="M11" s="177"/>
      <c r="N11" s="55"/>
      <c r="O11" s="55"/>
      <c r="P11" s="55"/>
      <c r="Q11" s="54"/>
      <c r="R11" s="162"/>
      <c r="S11" s="186"/>
      <c r="T11" s="35"/>
      <c r="U11" s="35"/>
      <c r="V11" s="35"/>
      <c r="W11" s="35"/>
      <c r="X11" s="52"/>
      <c r="Y11" s="35"/>
      <c r="Z11" s="35"/>
      <c r="AA11" s="185"/>
      <c r="AB11" s="184"/>
      <c r="AC11" s="1"/>
      <c r="AD11" s="1"/>
      <c r="AE11" s="1"/>
      <c r="AF11" s="1"/>
      <c r="AG11" s="1"/>
      <c r="AH11" s="1"/>
    </row>
    <row r="12" spans="1:34">
      <c r="A12" s="43">
        <v>0</v>
      </c>
      <c r="B12" s="79" t="s">
        <v>64</v>
      </c>
      <c r="C12" s="183">
        <v>204</v>
      </c>
      <c r="D12" s="182">
        <v>204</v>
      </c>
      <c r="E12" s="181">
        <v>0.52</v>
      </c>
      <c r="F12" s="180">
        <v>0.51</v>
      </c>
      <c r="G12" s="180">
        <v>0.52</v>
      </c>
      <c r="H12" s="180">
        <v>0.52</v>
      </c>
      <c r="I12" s="180">
        <v>0.52</v>
      </c>
      <c r="J12" s="1"/>
      <c r="K12" s="179">
        <v>28.55</v>
      </c>
      <c r="L12" s="178">
        <v>28.82</v>
      </c>
      <c r="M12" s="177" t="s">
        <v>20</v>
      </c>
      <c r="N12" s="55"/>
      <c r="O12" s="55"/>
      <c r="P12" s="55" t="s">
        <v>20</v>
      </c>
      <c r="Q12" s="176" t="s">
        <v>21</v>
      </c>
      <c r="R12" s="162">
        <v>41.7</v>
      </c>
      <c r="S12" s="36">
        <f t="shared" ref="S12:S43" si="0">R12/(AVERAGE(C12:D12)*AVERAGE(E12:J12)*AVERAGE(K12:L12)*0.001)</f>
        <v>13.756921958585055</v>
      </c>
      <c r="T12" s="35">
        <v>1</v>
      </c>
      <c r="U12" s="35"/>
      <c r="V12" s="175">
        <v>0</v>
      </c>
      <c r="W12" s="160">
        <f t="shared" ref="W12:W43" si="1">MAX(E12:I12)-MIN(E12:I12)</f>
        <v>1.0000000000000009E-2</v>
      </c>
      <c r="X12" s="35">
        <f t="shared" ref="X12:X43" si="2">IF(OR(ABS(E12-$C$6)&gt;($C$6*0.1),ABS(F12-$C$6)&gt;($C$6*0.1),ABS(G12-$C$6)&gt;($C$6*0.1),ABS(H12-$C$6)&gt;($C$6*0.1),ABS(I12-$C$6)&gt;($C$6*0.1)),1,0)</f>
        <v>0</v>
      </c>
      <c r="Y12" s="35">
        <v>1</v>
      </c>
      <c r="Z12" s="34">
        <v>0</v>
      </c>
      <c r="AA12" s="33">
        <f t="shared" ref="AA12:AA43" si="3">IF(OR(M12="Y",N12="Y",O12="Y",P12="Y"),1,0)</f>
        <v>0</v>
      </c>
      <c r="AB12" s="169" t="s">
        <v>63</v>
      </c>
      <c r="AC12" s="1"/>
      <c r="AD12" s="1"/>
      <c r="AE12" s="1"/>
      <c r="AF12" s="1"/>
      <c r="AG12" s="1"/>
      <c r="AH12" s="1"/>
    </row>
    <row r="13" spans="1:34">
      <c r="A13" s="12">
        <v>1</v>
      </c>
      <c r="B13" s="45"/>
      <c r="C13" s="168">
        <v>204</v>
      </c>
      <c r="D13" s="167">
        <v>204</v>
      </c>
      <c r="E13" s="80">
        <v>0.49</v>
      </c>
      <c r="F13" s="80">
        <v>0.49</v>
      </c>
      <c r="G13" s="80">
        <v>0.5</v>
      </c>
      <c r="H13" s="80">
        <v>0.49</v>
      </c>
      <c r="I13" s="47">
        <v>0.49</v>
      </c>
      <c r="J13" s="47"/>
      <c r="K13" s="166">
        <v>26.21</v>
      </c>
      <c r="L13" s="165">
        <v>26.05</v>
      </c>
      <c r="M13" s="120"/>
      <c r="N13" s="45"/>
      <c r="O13" s="45"/>
      <c r="P13" s="23" t="s">
        <v>20</v>
      </c>
      <c r="Q13" s="115" t="s">
        <v>23</v>
      </c>
      <c r="R13" s="162">
        <v>36.1</v>
      </c>
      <c r="S13" s="36">
        <f t="shared" si="0"/>
        <v>13.764882926963486</v>
      </c>
      <c r="T13" s="35">
        <v>3</v>
      </c>
      <c r="U13" s="35"/>
      <c r="V13" s="35">
        <v>1</v>
      </c>
      <c r="W13" s="160">
        <f t="shared" si="1"/>
        <v>1.0000000000000009E-2</v>
      </c>
      <c r="X13" s="35">
        <f t="shared" si="2"/>
        <v>0</v>
      </c>
      <c r="Y13" s="35">
        <v>0</v>
      </c>
      <c r="Z13" s="34">
        <v>0</v>
      </c>
      <c r="AA13" s="33">
        <f t="shared" si="3"/>
        <v>0</v>
      </c>
      <c r="AB13" s="150"/>
      <c r="AC13" s="1"/>
      <c r="AD13" s="1"/>
      <c r="AE13" s="1"/>
      <c r="AF13" s="1"/>
      <c r="AG13" s="1"/>
      <c r="AH13" s="1"/>
    </row>
    <row r="14" spans="1:34">
      <c r="A14" s="12">
        <v>2</v>
      </c>
      <c r="B14" s="45"/>
      <c r="C14" s="168">
        <v>204</v>
      </c>
      <c r="D14" s="167">
        <v>204</v>
      </c>
      <c r="E14" s="80">
        <v>0.5</v>
      </c>
      <c r="F14" s="80">
        <v>0.5</v>
      </c>
      <c r="G14" s="80">
        <v>0.5</v>
      </c>
      <c r="H14" s="80">
        <v>0.5</v>
      </c>
      <c r="I14" s="47">
        <v>0.49</v>
      </c>
      <c r="J14" s="47"/>
      <c r="K14" s="166">
        <v>26.09</v>
      </c>
      <c r="L14" s="165">
        <v>26.17</v>
      </c>
      <c r="M14" s="120"/>
      <c r="N14" s="45" t="s">
        <v>20</v>
      </c>
      <c r="O14" s="45"/>
      <c r="P14" s="23"/>
      <c r="Q14" s="115" t="s">
        <v>50</v>
      </c>
      <c r="R14" s="162">
        <v>36</v>
      </c>
      <c r="S14" s="36">
        <f t="shared" si="0"/>
        <v>13.561370490403563</v>
      </c>
      <c r="T14" s="35">
        <v>3</v>
      </c>
      <c r="U14" s="35"/>
      <c r="V14" s="35">
        <v>2</v>
      </c>
      <c r="W14" s="160">
        <f t="shared" si="1"/>
        <v>1.0000000000000009E-2</v>
      </c>
      <c r="X14" s="35">
        <f t="shared" si="2"/>
        <v>0</v>
      </c>
      <c r="Y14" s="35">
        <v>0</v>
      </c>
      <c r="Z14" s="34">
        <v>0</v>
      </c>
      <c r="AA14" s="33">
        <f t="shared" si="3"/>
        <v>0</v>
      </c>
      <c r="AB14" s="150"/>
      <c r="AC14" s="1"/>
      <c r="AD14" s="1"/>
      <c r="AE14" s="1"/>
      <c r="AF14" s="1"/>
      <c r="AG14" s="1"/>
      <c r="AH14" s="1"/>
    </row>
    <row r="15" spans="1:34">
      <c r="A15" s="12">
        <v>3</v>
      </c>
      <c r="B15" s="45"/>
      <c r="C15" s="168">
        <v>204</v>
      </c>
      <c r="D15" s="167">
        <v>204</v>
      </c>
      <c r="E15" s="80">
        <v>0.49</v>
      </c>
      <c r="F15" s="80">
        <v>0.5</v>
      </c>
      <c r="G15" s="80">
        <v>0.5</v>
      </c>
      <c r="H15" s="80">
        <v>0.5</v>
      </c>
      <c r="I15" s="47">
        <v>0.5</v>
      </c>
      <c r="J15" s="47"/>
      <c r="K15" s="166">
        <v>26.24</v>
      </c>
      <c r="L15" s="165">
        <v>26.3</v>
      </c>
      <c r="M15" s="120"/>
      <c r="N15" s="45"/>
      <c r="O15" s="45"/>
      <c r="P15" s="23"/>
      <c r="Q15" s="40"/>
      <c r="R15" s="162">
        <v>35.700000000000003</v>
      </c>
      <c r="S15" s="36">
        <f t="shared" si="0"/>
        <v>13.376689093641408</v>
      </c>
      <c r="T15" s="35">
        <v>3</v>
      </c>
      <c r="U15" s="35"/>
      <c r="V15" s="35">
        <v>3</v>
      </c>
      <c r="W15" s="160">
        <f t="shared" si="1"/>
        <v>1.0000000000000009E-2</v>
      </c>
      <c r="X15" s="35">
        <f t="shared" si="2"/>
        <v>0</v>
      </c>
      <c r="Y15" s="35">
        <v>0</v>
      </c>
      <c r="Z15" s="34">
        <v>0</v>
      </c>
      <c r="AA15" s="33">
        <f t="shared" si="3"/>
        <v>0</v>
      </c>
      <c r="AB15" s="150"/>
      <c r="AC15" s="1"/>
      <c r="AD15" s="1"/>
      <c r="AE15" s="1"/>
      <c r="AF15" s="1"/>
      <c r="AG15" s="1"/>
      <c r="AH15" s="1"/>
    </row>
    <row r="16" spans="1:34">
      <c r="A16" s="12">
        <v>4</v>
      </c>
      <c r="B16" s="45"/>
      <c r="C16" s="168">
        <v>204</v>
      </c>
      <c r="D16" s="167">
        <v>204</v>
      </c>
      <c r="E16" s="80">
        <v>0.51</v>
      </c>
      <c r="F16" s="80">
        <v>0.5</v>
      </c>
      <c r="G16" s="80">
        <v>0.51</v>
      </c>
      <c r="H16" s="80">
        <v>0.51</v>
      </c>
      <c r="I16" s="47">
        <v>0.51</v>
      </c>
      <c r="J16" s="47"/>
      <c r="K16" s="166">
        <v>26.17</v>
      </c>
      <c r="L16" s="165">
        <v>26.25</v>
      </c>
      <c r="M16" s="120"/>
      <c r="N16" s="45" t="s">
        <v>20</v>
      </c>
      <c r="O16" s="45" t="s">
        <v>20</v>
      </c>
      <c r="P16" s="23" t="s">
        <v>20</v>
      </c>
      <c r="Q16" s="115" t="s">
        <v>21</v>
      </c>
      <c r="R16" s="162">
        <v>35.4</v>
      </c>
      <c r="S16" s="36">
        <f t="shared" si="0"/>
        <v>13.032938963963524</v>
      </c>
      <c r="T16" s="35">
        <v>3</v>
      </c>
      <c r="U16" s="35"/>
      <c r="V16" s="35">
        <v>4</v>
      </c>
      <c r="W16" s="160">
        <f t="shared" si="1"/>
        <v>1.0000000000000009E-2</v>
      </c>
      <c r="X16" s="35">
        <f t="shared" si="2"/>
        <v>0</v>
      </c>
      <c r="Y16" s="35">
        <v>0</v>
      </c>
      <c r="Z16" s="34">
        <v>0</v>
      </c>
      <c r="AA16" s="33">
        <f t="shared" si="3"/>
        <v>0</v>
      </c>
      <c r="AB16" s="150"/>
      <c r="AC16" s="1"/>
      <c r="AD16" s="1"/>
      <c r="AE16" s="1"/>
      <c r="AF16" s="1"/>
      <c r="AG16" s="1"/>
      <c r="AH16" s="1"/>
    </row>
    <row r="17" spans="1:34">
      <c r="A17" s="12">
        <v>5</v>
      </c>
      <c r="B17" s="45"/>
      <c r="C17" s="168">
        <v>204</v>
      </c>
      <c r="D17" s="167">
        <v>204</v>
      </c>
      <c r="E17" s="80">
        <v>0.51</v>
      </c>
      <c r="F17" s="80">
        <v>0.51</v>
      </c>
      <c r="G17" s="80">
        <v>0.5</v>
      </c>
      <c r="H17" s="80">
        <v>0.51</v>
      </c>
      <c r="I17" s="47">
        <v>0.51</v>
      </c>
      <c r="J17" s="47"/>
      <c r="K17" s="166">
        <v>26.23</v>
      </c>
      <c r="L17" s="165">
        <v>26.39</v>
      </c>
      <c r="M17" s="120" t="s">
        <v>20</v>
      </c>
      <c r="N17" s="45"/>
      <c r="O17" s="45" t="s">
        <v>22</v>
      </c>
      <c r="P17" s="23"/>
      <c r="Q17" s="115" t="s">
        <v>23</v>
      </c>
      <c r="R17" s="162">
        <v>36.5</v>
      </c>
      <c r="S17" s="36">
        <f t="shared" si="0"/>
        <v>13.38684197106658</v>
      </c>
      <c r="T17" s="35">
        <v>3</v>
      </c>
      <c r="U17" s="35"/>
      <c r="V17" s="35">
        <v>5</v>
      </c>
      <c r="W17" s="160">
        <f t="shared" si="1"/>
        <v>1.0000000000000009E-2</v>
      </c>
      <c r="X17" s="35">
        <f t="shared" si="2"/>
        <v>0</v>
      </c>
      <c r="Y17" s="35">
        <v>0</v>
      </c>
      <c r="Z17" s="34">
        <v>0</v>
      </c>
      <c r="AA17" s="33">
        <f t="shared" si="3"/>
        <v>1</v>
      </c>
      <c r="AB17" s="150"/>
      <c r="AC17" s="1"/>
      <c r="AD17" s="1"/>
      <c r="AE17" s="1"/>
      <c r="AF17" s="1"/>
      <c r="AG17" s="1"/>
      <c r="AH17" s="1"/>
    </row>
    <row r="18" spans="1:34">
      <c r="A18" s="12">
        <v>6</v>
      </c>
      <c r="B18" s="45"/>
      <c r="C18" s="168">
        <v>204</v>
      </c>
      <c r="D18" s="167">
        <v>204</v>
      </c>
      <c r="E18" s="80">
        <v>0.5</v>
      </c>
      <c r="F18" s="80">
        <v>0.5</v>
      </c>
      <c r="G18" s="80">
        <v>0.5</v>
      </c>
      <c r="H18" s="80">
        <v>0.5</v>
      </c>
      <c r="I18" s="47">
        <v>0.49</v>
      </c>
      <c r="J18" s="47"/>
      <c r="K18" s="166">
        <v>26.11</v>
      </c>
      <c r="L18" s="165">
        <v>26.17</v>
      </c>
      <c r="M18" s="120"/>
      <c r="N18" s="45" t="s">
        <v>22</v>
      </c>
      <c r="O18" s="45"/>
      <c r="P18" s="23"/>
      <c r="Q18" s="115" t="s">
        <v>21</v>
      </c>
      <c r="R18" s="162">
        <v>35.5</v>
      </c>
      <c r="S18" s="36">
        <f t="shared" si="0"/>
        <v>13.367902201240863</v>
      </c>
      <c r="T18" s="35">
        <v>3</v>
      </c>
      <c r="U18" s="35"/>
      <c r="V18" s="35">
        <v>6</v>
      </c>
      <c r="W18" s="160">
        <f t="shared" si="1"/>
        <v>1.0000000000000009E-2</v>
      </c>
      <c r="X18" s="35">
        <f t="shared" si="2"/>
        <v>0</v>
      </c>
      <c r="Y18" s="35">
        <v>0</v>
      </c>
      <c r="Z18" s="34">
        <v>0</v>
      </c>
      <c r="AA18" s="33">
        <f t="shared" si="3"/>
        <v>1</v>
      </c>
      <c r="AB18" s="150"/>
      <c r="AC18" s="1"/>
      <c r="AD18" s="1"/>
      <c r="AE18" s="1"/>
      <c r="AF18" s="1"/>
      <c r="AG18" s="1"/>
      <c r="AH18" s="1"/>
    </row>
    <row r="19" spans="1:34">
      <c r="A19" s="12">
        <v>7</v>
      </c>
      <c r="B19" s="45"/>
      <c r="C19" s="168">
        <v>204</v>
      </c>
      <c r="D19" s="167">
        <v>204</v>
      </c>
      <c r="E19" s="80">
        <v>0.49</v>
      </c>
      <c r="F19" s="80">
        <v>0.49</v>
      </c>
      <c r="G19" s="80">
        <v>0.49</v>
      </c>
      <c r="H19" s="80">
        <v>0.49</v>
      </c>
      <c r="I19" s="47">
        <v>0.5</v>
      </c>
      <c r="J19" s="47"/>
      <c r="K19" s="166">
        <v>26.07</v>
      </c>
      <c r="L19" s="165">
        <v>26.14</v>
      </c>
      <c r="M19" s="120"/>
      <c r="N19" s="45"/>
      <c r="O19" s="45" t="s">
        <v>20</v>
      </c>
      <c r="P19" s="23"/>
      <c r="Q19" s="115" t="s">
        <v>21</v>
      </c>
      <c r="R19" s="162">
        <v>35.299999999999997</v>
      </c>
      <c r="S19" s="36">
        <f t="shared" si="0"/>
        <v>13.472734071617786</v>
      </c>
      <c r="T19" s="35">
        <v>3</v>
      </c>
      <c r="U19" s="35"/>
      <c r="V19" s="35">
        <v>7</v>
      </c>
      <c r="W19" s="160">
        <f t="shared" si="1"/>
        <v>1.0000000000000009E-2</v>
      </c>
      <c r="X19" s="35">
        <f t="shared" si="2"/>
        <v>0</v>
      </c>
      <c r="Y19" s="35">
        <v>0</v>
      </c>
      <c r="Z19" s="34">
        <v>0</v>
      </c>
      <c r="AA19" s="33">
        <f t="shared" si="3"/>
        <v>0</v>
      </c>
      <c r="AB19" s="150"/>
      <c r="AC19" s="1"/>
      <c r="AD19" s="1"/>
      <c r="AE19" s="1"/>
      <c r="AF19" s="1"/>
      <c r="AG19" s="1"/>
      <c r="AH19" s="1"/>
    </row>
    <row r="20" spans="1:34">
      <c r="A20" s="12">
        <v>8</v>
      </c>
      <c r="B20" s="45"/>
      <c r="C20" s="168">
        <v>204</v>
      </c>
      <c r="D20" s="167">
        <v>204</v>
      </c>
      <c r="E20" s="80">
        <v>0.51</v>
      </c>
      <c r="F20" s="80">
        <v>0.5</v>
      </c>
      <c r="G20" s="80">
        <v>0.5</v>
      </c>
      <c r="H20" s="80">
        <v>0.5</v>
      </c>
      <c r="I20" s="47">
        <v>0.5</v>
      </c>
      <c r="J20" s="47"/>
      <c r="K20" s="166">
        <v>26.07</v>
      </c>
      <c r="L20" s="165">
        <v>26.2</v>
      </c>
      <c r="M20" s="120"/>
      <c r="N20" s="45"/>
      <c r="O20" s="45" t="s">
        <v>20</v>
      </c>
      <c r="P20" s="23"/>
      <c r="Q20" s="115" t="s">
        <v>21</v>
      </c>
      <c r="R20" s="162">
        <v>36.6</v>
      </c>
      <c r="S20" s="36">
        <f t="shared" si="0"/>
        <v>13.674916915912579</v>
      </c>
      <c r="T20" s="35">
        <v>3</v>
      </c>
      <c r="U20" s="35"/>
      <c r="V20" s="35">
        <v>8</v>
      </c>
      <c r="W20" s="160">
        <f t="shared" si="1"/>
        <v>1.0000000000000009E-2</v>
      </c>
      <c r="X20" s="35">
        <f t="shared" si="2"/>
        <v>0</v>
      </c>
      <c r="Y20" s="35">
        <v>0</v>
      </c>
      <c r="Z20" s="34">
        <v>0</v>
      </c>
      <c r="AA20" s="33">
        <f t="shared" si="3"/>
        <v>0</v>
      </c>
      <c r="AB20" s="150"/>
      <c r="AC20" s="1"/>
      <c r="AD20" s="1"/>
      <c r="AE20" s="1"/>
      <c r="AF20" s="1"/>
      <c r="AG20" s="1"/>
      <c r="AH20" s="1"/>
    </row>
    <row r="21" spans="1:34">
      <c r="A21" s="12">
        <v>9</v>
      </c>
      <c r="B21" s="45" t="s">
        <v>62</v>
      </c>
      <c r="C21" s="168">
        <v>204</v>
      </c>
      <c r="D21" s="167">
        <v>204</v>
      </c>
      <c r="E21" s="80">
        <v>0.5</v>
      </c>
      <c r="F21" s="80">
        <v>0.5</v>
      </c>
      <c r="G21" s="80">
        <v>0.5</v>
      </c>
      <c r="H21" s="80">
        <v>0.5</v>
      </c>
      <c r="I21" s="47">
        <v>0.5</v>
      </c>
      <c r="J21" s="47"/>
      <c r="K21" s="166">
        <v>26.11</v>
      </c>
      <c r="L21" s="165">
        <v>26.16</v>
      </c>
      <c r="M21" s="120" t="s">
        <v>20</v>
      </c>
      <c r="N21" s="45"/>
      <c r="O21" s="45"/>
      <c r="P21" s="23"/>
      <c r="Q21" s="115" t="s">
        <v>21</v>
      </c>
      <c r="R21" s="162">
        <v>36</v>
      </c>
      <c r="S21" s="36">
        <f t="shared" si="0"/>
        <v>13.504540901878256</v>
      </c>
      <c r="T21" s="35">
        <v>3</v>
      </c>
      <c r="U21" s="35"/>
      <c r="V21" s="35">
        <v>9</v>
      </c>
      <c r="W21" s="160">
        <f t="shared" si="1"/>
        <v>0</v>
      </c>
      <c r="X21" s="35">
        <f t="shared" si="2"/>
        <v>0</v>
      </c>
      <c r="Y21" s="35">
        <v>0</v>
      </c>
      <c r="Z21" s="34">
        <v>0</v>
      </c>
      <c r="AA21" s="33">
        <f t="shared" si="3"/>
        <v>0</v>
      </c>
      <c r="AB21" s="150"/>
      <c r="AC21" s="1"/>
      <c r="AD21" s="1"/>
      <c r="AE21" s="1"/>
      <c r="AF21" s="1"/>
      <c r="AG21" s="1"/>
      <c r="AH21" s="1"/>
    </row>
    <row r="22" spans="1:34">
      <c r="A22" s="12">
        <v>10</v>
      </c>
      <c r="B22" s="45"/>
      <c r="C22" s="168">
        <v>204</v>
      </c>
      <c r="D22" s="167">
        <v>204</v>
      </c>
      <c r="E22" s="80">
        <v>0.5</v>
      </c>
      <c r="F22" s="80">
        <v>0.5</v>
      </c>
      <c r="G22" s="80">
        <v>0.5</v>
      </c>
      <c r="H22" s="80">
        <v>0.5</v>
      </c>
      <c r="I22" s="47">
        <v>0.5</v>
      </c>
      <c r="J22" s="47"/>
      <c r="K22" s="166">
        <v>26.1</v>
      </c>
      <c r="L22" s="165">
        <v>26.23</v>
      </c>
      <c r="M22" s="120"/>
      <c r="N22" s="45"/>
      <c r="O22" s="45" t="s">
        <v>20</v>
      </c>
      <c r="P22" s="23"/>
      <c r="Q22" s="115" t="s">
        <v>19</v>
      </c>
      <c r="R22" s="162">
        <v>35.9</v>
      </c>
      <c r="S22" s="36">
        <f t="shared" si="0"/>
        <v>13.451587399721976</v>
      </c>
      <c r="T22" s="35">
        <v>3</v>
      </c>
      <c r="U22" s="35"/>
      <c r="V22" s="35">
        <v>10</v>
      </c>
      <c r="W22" s="160">
        <f t="shared" si="1"/>
        <v>0</v>
      </c>
      <c r="X22" s="35">
        <f t="shared" si="2"/>
        <v>0</v>
      </c>
      <c r="Y22" s="35">
        <v>0</v>
      </c>
      <c r="Z22" s="34">
        <v>0</v>
      </c>
      <c r="AA22" s="33">
        <f t="shared" si="3"/>
        <v>0</v>
      </c>
      <c r="AB22" s="150"/>
      <c r="AC22" s="1"/>
      <c r="AD22" s="1"/>
      <c r="AE22" s="1"/>
      <c r="AF22" s="1"/>
      <c r="AG22" s="1"/>
      <c r="AH22" s="1"/>
    </row>
    <row r="23" spans="1:34">
      <c r="A23" s="12">
        <v>11</v>
      </c>
      <c r="B23" s="45"/>
      <c r="C23" s="168">
        <v>204</v>
      </c>
      <c r="D23" s="167">
        <v>204</v>
      </c>
      <c r="E23" s="80">
        <v>0.51</v>
      </c>
      <c r="F23" s="80">
        <v>0.51</v>
      </c>
      <c r="G23" s="80">
        <v>0.51</v>
      </c>
      <c r="H23" s="80">
        <v>0.51</v>
      </c>
      <c r="I23" s="47">
        <v>0.51</v>
      </c>
      <c r="J23" s="47"/>
      <c r="K23" s="166">
        <v>26.06</v>
      </c>
      <c r="L23" s="165">
        <v>26.28</v>
      </c>
      <c r="M23" s="120"/>
      <c r="N23" s="45"/>
      <c r="O23" s="45"/>
      <c r="P23" s="23"/>
      <c r="Q23" s="115"/>
      <c r="R23" s="162">
        <v>36.5</v>
      </c>
      <c r="S23" s="36">
        <f t="shared" si="0"/>
        <v>13.405678454408278</v>
      </c>
      <c r="T23" s="35">
        <v>3</v>
      </c>
      <c r="U23" s="35"/>
      <c r="V23" s="35">
        <v>11</v>
      </c>
      <c r="W23" s="160">
        <f t="shared" si="1"/>
        <v>0</v>
      </c>
      <c r="X23" s="35">
        <f t="shared" si="2"/>
        <v>0</v>
      </c>
      <c r="Y23" s="35">
        <v>0</v>
      </c>
      <c r="Z23" s="34">
        <v>0</v>
      </c>
      <c r="AA23" s="33">
        <f t="shared" si="3"/>
        <v>0</v>
      </c>
      <c r="AB23" s="150"/>
      <c r="AC23" s="1"/>
      <c r="AD23" s="1"/>
      <c r="AE23" s="1"/>
      <c r="AF23" s="1"/>
      <c r="AG23" s="1"/>
      <c r="AH23" s="1"/>
    </row>
    <row r="24" spans="1:34">
      <c r="A24" s="12">
        <v>12</v>
      </c>
      <c r="B24" s="45"/>
      <c r="C24" s="168">
        <v>204</v>
      </c>
      <c r="D24" s="167">
        <v>204</v>
      </c>
      <c r="E24" s="80">
        <v>0.49</v>
      </c>
      <c r="F24" s="80">
        <v>0.49</v>
      </c>
      <c r="G24" s="80">
        <v>0.49</v>
      </c>
      <c r="H24" s="80">
        <v>0.49</v>
      </c>
      <c r="I24" s="47">
        <v>0.49</v>
      </c>
      <c r="J24" s="47"/>
      <c r="K24" s="166">
        <v>26.1</v>
      </c>
      <c r="L24" s="165">
        <v>26.22</v>
      </c>
      <c r="M24" s="120" t="s">
        <v>20</v>
      </c>
      <c r="N24" s="45"/>
      <c r="O24" s="45" t="s">
        <v>20</v>
      </c>
      <c r="P24" s="23"/>
      <c r="Q24" s="115" t="s">
        <v>19</v>
      </c>
      <c r="R24" s="162">
        <v>35.700000000000003</v>
      </c>
      <c r="S24" s="36">
        <f t="shared" si="0"/>
        <v>13.652249890782</v>
      </c>
      <c r="T24" s="35">
        <v>3</v>
      </c>
      <c r="U24" s="35"/>
      <c r="V24" s="35">
        <v>12</v>
      </c>
      <c r="W24" s="160">
        <f t="shared" si="1"/>
        <v>0</v>
      </c>
      <c r="X24" s="35">
        <f t="shared" si="2"/>
        <v>0</v>
      </c>
      <c r="Y24" s="35">
        <v>0</v>
      </c>
      <c r="Z24" s="34">
        <v>0</v>
      </c>
      <c r="AA24" s="33">
        <f t="shared" si="3"/>
        <v>0</v>
      </c>
      <c r="AB24" s="150"/>
      <c r="AC24" s="1"/>
      <c r="AD24" s="1"/>
      <c r="AE24" s="1"/>
      <c r="AF24" s="1"/>
      <c r="AG24" s="1"/>
      <c r="AH24" s="1"/>
    </row>
    <row r="25" spans="1:34">
      <c r="A25" s="12">
        <v>13</v>
      </c>
      <c r="B25" s="45"/>
      <c r="C25" s="168">
        <v>204</v>
      </c>
      <c r="D25" s="167">
        <v>204</v>
      </c>
      <c r="E25" s="80">
        <v>0.5</v>
      </c>
      <c r="F25" s="80">
        <v>0.5</v>
      </c>
      <c r="G25" s="80">
        <v>0.5</v>
      </c>
      <c r="H25" s="80">
        <v>0.5</v>
      </c>
      <c r="I25" s="47">
        <v>0.5</v>
      </c>
      <c r="J25" s="47"/>
      <c r="K25" s="166">
        <v>26.1</v>
      </c>
      <c r="L25" s="165">
        <v>26.14</v>
      </c>
      <c r="M25" s="120" t="s">
        <v>20</v>
      </c>
      <c r="N25" s="45"/>
      <c r="O25" s="45"/>
      <c r="P25" s="23" t="s">
        <v>20</v>
      </c>
      <c r="Q25" s="115"/>
      <c r="R25" s="162">
        <v>36.1</v>
      </c>
      <c r="S25" s="36">
        <f t="shared" si="0"/>
        <v>13.549830345614508</v>
      </c>
      <c r="T25" s="35">
        <v>3</v>
      </c>
      <c r="U25" s="35"/>
      <c r="V25" s="35">
        <v>13</v>
      </c>
      <c r="W25" s="160">
        <f t="shared" si="1"/>
        <v>0</v>
      </c>
      <c r="X25" s="35">
        <f t="shared" si="2"/>
        <v>0</v>
      </c>
      <c r="Y25" s="35">
        <v>0</v>
      </c>
      <c r="Z25" s="34">
        <v>0</v>
      </c>
      <c r="AA25" s="33">
        <f t="shared" si="3"/>
        <v>0</v>
      </c>
      <c r="AB25" s="150"/>
      <c r="AC25" s="1"/>
      <c r="AD25" s="1"/>
      <c r="AE25" s="1"/>
      <c r="AF25" s="1"/>
      <c r="AG25" s="1"/>
      <c r="AH25" s="1"/>
    </row>
    <row r="26" spans="1:34">
      <c r="A26" s="12">
        <v>14</v>
      </c>
      <c r="B26" s="45"/>
      <c r="C26" s="168">
        <v>204</v>
      </c>
      <c r="D26" s="167">
        <v>204</v>
      </c>
      <c r="E26" s="80">
        <v>0.5</v>
      </c>
      <c r="F26" s="80">
        <v>0.5</v>
      </c>
      <c r="G26" s="80">
        <v>0.5</v>
      </c>
      <c r="H26" s="80">
        <v>0.5</v>
      </c>
      <c r="I26" s="47">
        <v>0.5</v>
      </c>
      <c r="J26" s="47"/>
      <c r="K26" s="166">
        <v>26.32</v>
      </c>
      <c r="L26" s="165">
        <v>26.33</v>
      </c>
      <c r="M26" s="120" t="s">
        <v>20</v>
      </c>
      <c r="N26" s="45"/>
      <c r="O26" s="45"/>
      <c r="P26" s="23"/>
      <c r="Q26" s="40" t="s">
        <v>50</v>
      </c>
      <c r="R26" s="162">
        <v>35.799999999999997</v>
      </c>
      <c r="S26" s="36">
        <f t="shared" si="0"/>
        <v>13.332588495987187</v>
      </c>
      <c r="T26" s="35">
        <v>3</v>
      </c>
      <c r="U26" s="35"/>
      <c r="V26" s="35">
        <v>14</v>
      </c>
      <c r="W26" s="160">
        <f t="shared" si="1"/>
        <v>0</v>
      </c>
      <c r="X26" s="35">
        <f t="shared" si="2"/>
        <v>0</v>
      </c>
      <c r="Y26" s="35">
        <v>0</v>
      </c>
      <c r="Z26" s="34">
        <v>0</v>
      </c>
      <c r="AA26" s="33">
        <f t="shared" si="3"/>
        <v>0</v>
      </c>
      <c r="AB26" s="150"/>
      <c r="AC26" s="1"/>
      <c r="AD26" s="1"/>
      <c r="AE26" s="1"/>
      <c r="AF26" s="1"/>
      <c r="AG26" s="1"/>
      <c r="AH26" s="1"/>
    </row>
    <row r="27" spans="1:34">
      <c r="A27" s="12">
        <v>15</v>
      </c>
      <c r="B27" s="45"/>
      <c r="C27" s="168">
        <v>204</v>
      </c>
      <c r="D27" s="167">
        <v>204</v>
      </c>
      <c r="E27" s="80">
        <v>0.5</v>
      </c>
      <c r="F27" s="80">
        <v>0.5</v>
      </c>
      <c r="G27" s="80">
        <v>0.5</v>
      </c>
      <c r="H27" s="80">
        <v>0.5</v>
      </c>
      <c r="I27" s="47">
        <v>0.51</v>
      </c>
      <c r="J27" s="47"/>
      <c r="K27" s="166">
        <v>26.06</v>
      </c>
      <c r="L27" s="165">
        <v>26.08</v>
      </c>
      <c r="M27" s="120" t="s">
        <v>22</v>
      </c>
      <c r="N27" s="45" t="s">
        <v>20</v>
      </c>
      <c r="O27" s="45"/>
      <c r="P27" s="23"/>
      <c r="Q27" s="115" t="s">
        <v>19</v>
      </c>
      <c r="R27" s="162">
        <v>36.200000000000003</v>
      </c>
      <c r="S27" s="36">
        <f t="shared" si="0"/>
        <v>13.559187140365035</v>
      </c>
      <c r="T27" s="35">
        <v>3</v>
      </c>
      <c r="U27" s="35"/>
      <c r="V27" s="35">
        <v>15</v>
      </c>
      <c r="W27" s="160">
        <f t="shared" si="1"/>
        <v>1.0000000000000009E-2</v>
      </c>
      <c r="X27" s="35">
        <f t="shared" si="2"/>
        <v>0</v>
      </c>
      <c r="Y27" s="35">
        <v>0</v>
      </c>
      <c r="Z27" s="34">
        <v>0</v>
      </c>
      <c r="AA27" s="33">
        <f t="shared" si="3"/>
        <v>1</v>
      </c>
      <c r="AB27" s="150"/>
      <c r="AC27" s="1"/>
      <c r="AD27" s="1"/>
      <c r="AE27" s="1"/>
      <c r="AF27" s="1"/>
      <c r="AG27" s="1"/>
      <c r="AH27" s="1"/>
    </row>
    <row r="28" spans="1:34">
      <c r="A28" s="12">
        <v>16</v>
      </c>
      <c r="B28" s="45"/>
      <c r="C28" s="168">
        <v>204</v>
      </c>
      <c r="D28" s="167">
        <v>204</v>
      </c>
      <c r="E28" s="80">
        <v>0.49</v>
      </c>
      <c r="F28" s="80">
        <v>0.49</v>
      </c>
      <c r="G28" s="80">
        <v>0.49</v>
      </c>
      <c r="H28" s="80">
        <v>0.49</v>
      </c>
      <c r="I28" s="47">
        <v>0.49</v>
      </c>
      <c r="J28" s="47"/>
      <c r="K28" s="166">
        <v>26.16</v>
      </c>
      <c r="L28" s="165">
        <v>26.09</v>
      </c>
      <c r="M28" s="120"/>
      <c r="N28" s="45"/>
      <c r="O28" s="45" t="s">
        <v>22</v>
      </c>
      <c r="P28" s="23"/>
      <c r="Q28" s="115" t="s">
        <v>21</v>
      </c>
      <c r="R28" s="162">
        <v>35.200000000000003</v>
      </c>
      <c r="S28" s="36">
        <f t="shared" si="0"/>
        <v>13.479075840862661</v>
      </c>
      <c r="T28" s="35">
        <v>3</v>
      </c>
      <c r="U28" s="35"/>
      <c r="V28" s="35">
        <v>16</v>
      </c>
      <c r="W28" s="160">
        <f t="shared" si="1"/>
        <v>0</v>
      </c>
      <c r="X28" s="35">
        <f t="shared" si="2"/>
        <v>0</v>
      </c>
      <c r="Y28" s="35">
        <v>0</v>
      </c>
      <c r="Z28" s="34">
        <v>0</v>
      </c>
      <c r="AA28" s="33">
        <f t="shared" si="3"/>
        <v>1</v>
      </c>
      <c r="AB28" s="150"/>
      <c r="AC28" s="1"/>
      <c r="AD28" s="1"/>
      <c r="AE28" s="1"/>
      <c r="AF28" s="1"/>
      <c r="AG28" s="1"/>
      <c r="AH28" s="1"/>
    </row>
    <row r="29" spans="1:34">
      <c r="A29" s="44">
        <v>17</v>
      </c>
      <c r="B29" s="45"/>
      <c r="C29" s="168">
        <v>204</v>
      </c>
      <c r="D29" s="167">
        <v>204</v>
      </c>
      <c r="E29" s="171">
        <v>0.51</v>
      </c>
      <c r="F29" s="171">
        <v>0.51</v>
      </c>
      <c r="G29" s="171">
        <v>0.51</v>
      </c>
      <c r="H29" s="171">
        <v>0.51</v>
      </c>
      <c r="I29" s="174">
        <v>0.49</v>
      </c>
      <c r="J29" s="173"/>
      <c r="K29" s="166">
        <v>26.26</v>
      </c>
      <c r="L29" s="165">
        <v>26.33</v>
      </c>
      <c r="M29" s="120"/>
      <c r="N29" s="45"/>
      <c r="O29" s="45"/>
      <c r="P29" s="23" t="s">
        <v>20</v>
      </c>
      <c r="Q29" s="40"/>
      <c r="R29" s="162">
        <v>36.700000000000003</v>
      </c>
      <c r="S29" s="36">
        <f t="shared" si="0"/>
        <v>13.521105605847435</v>
      </c>
      <c r="T29" s="35">
        <v>3</v>
      </c>
      <c r="U29" s="35"/>
      <c r="V29" s="172">
        <v>17</v>
      </c>
      <c r="W29" s="160">
        <f t="shared" si="1"/>
        <v>2.0000000000000018E-2</v>
      </c>
      <c r="X29" s="35">
        <f t="shared" si="2"/>
        <v>0</v>
      </c>
      <c r="Y29" s="35">
        <v>0</v>
      </c>
      <c r="Z29" s="34">
        <v>0</v>
      </c>
      <c r="AA29" s="33">
        <f t="shared" si="3"/>
        <v>0</v>
      </c>
      <c r="AB29" s="169" t="s">
        <v>58</v>
      </c>
      <c r="AC29" s="1"/>
      <c r="AD29" s="1"/>
      <c r="AE29" s="1"/>
      <c r="AF29" s="1"/>
      <c r="AG29" s="1"/>
      <c r="AH29" s="1"/>
    </row>
    <row r="30" spans="1:34">
      <c r="A30" s="32">
        <v>18</v>
      </c>
      <c r="B30" s="45"/>
      <c r="C30" s="168">
        <v>204</v>
      </c>
      <c r="D30" s="167">
        <v>204</v>
      </c>
      <c r="E30" s="80">
        <v>0.5</v>
      </c>
      <c r="F30" s="80">
        <v>0.5</v>
      </c>
      <c r="G30" s="80">
        <v>0.51</v>
      </c>
      <c r="H30" s="80">
        <v>0.51</v>
      </c>
      <c r="I30" s="80">
        <v>0.5</v>
      </c>
      <c r="J30" s="80"/>
      <c r="K30" s="166">
        <v>26.03</v>
      </c>
      <c r="L30" s="165">
        <v>26.17</v>
      </c>
      <c r="M30" s="116"/>
      <c r="N30" s="25" t="s">
        <v>20</v>
      </c>
      <c r="O30" s="25" t="s">
        <v>22</v>
      </c>
      <c r="P30" s="23" t="s">
        <v>20</v>
      </c>
      <c r="Q30" s="115" t="s">
        <v>19</v>
      </c>
      <c r="R30" s="162">
        <v>36.200000000000003</v>
      </c>
      <c r="S30" s="36">
        <f t="shared" si="0"/>
        <v>13.489857415933592</v>
      </c>
      <c r="T30" s="35">
        <v>3</v>
      </c>
      <c r="U30" s="35"/>
      <c r="V30" s="161">
        <v>18</v>
      </c>
      <c r="W30" s="160">
        <f t="shared" si="1"/>
        <v>1.0000000000000009E-2</v>
      </c>
      <c r="X30" s="35">
        <f t="shared" si="2"/>
        <v>0</v>
      </c>
      <c r="Y30" s="35">
        <v>0</v>
      </c>
      <c r="Z30" s="34">
        <v>0</v>
      </c>
      <c r="AA30" s="33">
        <f t="shared" si="3"/>
        <v>1</v>
      </c>
      <c r="AB30" s="150"/>
      <c r="AC30" s="79"/>
      <c r="AD30" s="79"/>
      <c r="AE30" s="1"/>
      <c r="AF30" s="1"/>
      <c r="AG30" s="1"/>
      <c r="AH30" s="1"/>
    </row>
    <row r="31" spans="1:34">
      <c r="A31" s="32">
        <v>19</v>
      </c>
      <c r="B31" s="45"/>
      <c r="C31" s="168">
        <v>204</v>
      </c>
      <c r="D31" s="167">
        <v>204</v>
      </c>
      <c r="E31" s="80">
        <v>0.5</v>
      </c>
      <c r="F31" s="80">
        <v>0.5</v>
      </c>
      <c r="G31" s="80">
        <v>0.5</v>
      </c>
      <c r="H31" s="80">
        <v>0.5</v>
      </c>
      <c r="I31" s="80">
        <v>0.49</v>
      </c>
      <c r="J31" s="80"/>
      <c r="K31" s="166">
        <v>26.1</v>
      </c>
      <c r="L31" s="165">
        <v>26.19</v>
      </c>
      <c r="M31" s="116" t="s">
        <v>22</v>
      </c>
      <c r="N31" s="25"/>
      <c r="O31" s="25"/>
      <c r="P31" s="23"/>
      <c r="Q31" s="115" t="s">
        <v>21</v>
      </c>
      <c r="R31" s="162">
        <v>36</v>
      </c>
      <c r="S31" s="36">
        <f t="shared" si="0"/>
        <v>13.553590013931732</v>
      </c>
      <c r="T31" s="35">
        <v>3</v>
      </c>
      <c r="U31" s="35"/>
      <c r="V31" s="161">
        <v>19</v>
      </c>
      <c r="W31" s="160">
        <f t="shared" si="1"/>
        <v>1.0000000000000009E-2</v>
      </c>
      <c r="X31" s="35">
        <f t="shared" si="2"/>
        <v>0</v>
      </c>
      <c r="Y31" s="35">
        <v>0</v>
      </c>
      <c r="Z31" s="34">
        <v>0</v>
      </c>
      <c r="AA31" s="33">
        <f t="shared" si="3"/>
        <v>1</v>
      </c>
      <c r="AB31" s="150"/>
      <c r="AC31" s="79"/>
      <c r="AD31" s="79"/>
      <c r="AE31" s="1"/>
      <c r="AF31" s="1"/>
      <c r="AG31" s="1"/>
      <c r="AH31" s="1"/>
    </row>
    <row r="32" spans="1:34">
      <c r="A32" s="32">
        <v>20</v>
      </c>
      <c r="B32" s="45"/>
      <c r="C32" s="168">
        <v>204</v>
      </c>
      <c r="D32" s="167">
        <v>204</v>
      </c>
      <c r="E32" s="80">
        <v>0.49</v>
      </c>
      <c r="F32" s="80">
        <v>0.49</v>
      </c>
      <c r="G32" s="80">
        <v>0.48</v>
      </c>
      <c r="H32" s="80">
        <v>0.49</v>
      </c>
      <c r="I32" s="80">
        <v>0.49</v>
      </c>
      <c r="J32" s="80"/>
      <c r="K32" s="166">
        <v>26.14</v>
      </c>
      <c r="L32" s="165">
        <v>26.18</v>
      </c>
      <c r="M32" s="116" t="s">
        <v>22</v>
      </c>
      <c r="N32" s="25" t="s">
        <v>20</v>
      </c>
      <c r="O32" s="25"/>
      <c r="P32" s="23" t="s">
        <v>20</v>
      </c>
      <c r="Q32" s="115" t="s">
        <v>21</v>
      </c>
      <c r="R32" s="162">
        <v>35</v>
      </c>
      <c r="S32" s="36">
        <f t="shared" si="0"/>
        <v>13.439413465290864</v>
      </c>
      <c r="T32" s="35">
        <v>3</v>
      </c>
      <c r="U32" s="35"/>
      <c r="V32" s="161">
        <v>20</v>
      </c>
      <c r="W32" s="160">
        <f t="shared" si="1"/>
        <v>1.0000000000000009E-2</v>
      </c>
      <c r="X32" s="35">
        <f t="shared" si="2"/>
        <v>0</v>
      </c>
      <c r="Y32" s="35">
        <v>0</v>
      </c>
      <c r="Z32" s="34">
        <v>0</v>
      </c>
      <c r="AA32" s="33">
        <f t="shared" si="3"/>
        <v>1</v>
      </c>
      <c r="AB32" s="150"/>
      <c r="AC32" s="79"/>
      <c r="AD32" s="79"/>
      <c r="AE32" s="1"/>
      <c r="AF32" s="1"/>
      <c r="AG32" s="1"/>
      <c r="AH32" s="1"/>
    </row>
    <row r="33" spans="1:34">
      <c r="A33" s="32">
        <v>21</v>
      </c>
      <c r="B33" s="45"/>
      <c r="C33" s="168">
        <v>204</v>
      </c>
      <c r="D33" s="167">
        <v>204</v>
      </c>
      <c r="E33" s="80">
        <v>0.49</v>
      </c>
      <c r="F33" s="80">
        <v>0.49</v>
      </c>
      <c r="G33" s="80">
        <v>0.49</v>
      </c>
      <c r="H33" s="80">
        <v>0.49</v>
      </c>
      <c r="I33" s="80">
        <v>0.49</v>
      </c>
      <c r="J33" s="80"/>
      <c r="K33" s="166">
        <v>26.25</v>
      </c>
      <c r="L33" s="165">
        <v>26.45</v>
      </c>
      <c r="M33" s="116"/>
      <c r="N33" s="25" t="s">
        <v>20</v>
      </c>
      <c r="O33" s="25"/>
      <c r="P33" s="23" t="s">
        <v>20</v>
      </c>
      <c r="Q33" s="115" t="s">
        <v>21</v>
      </c>
      <c r="R33" s="162">
        <v>35.299999999999997</v>
      </c>
      <c r="S33" s="36">
        <f t="shared" si="0"/>
        <v>13.401945218315028</v>
      </c>
      <c r="T33" s="35">
        <v>3</v>
      </c>
      <c r="U33" s="35"/>
      <c r="V33" s="161">
        <v>21</v>
      </c>
      <c r="W33" s="160">
        <f t="shared" si="1"/>
        <v>0</v>
      </c>
      <c r="X33" s="35">
        <f t="shared" si="2"/>
        <v>0</v>
      </c>
      <c r="Y33" s="35">
        <v>0</v>
      </c>
      <c r="Z33" s="34">
        <v>0</v>
      </c>
      <c r="AA33" s="33">
        <f t="shared" si="3"/>
        <v>0</v>
      </c>
      <c r="AB33" s="150"/>
      <c r="AC33" s="79"/>
      <c r="AD33" s="79"/>
      <c r="AE33" s="1"/>
      <c r="AF33" s="1"/>
      <c r="AG33" s="1"/>
      <c r="AH33" s="1"/>
    </row>
    <row r="34" spans="1:34">
      <c r="A34" s="32">
        <v>22</v>
      </c>
      <c r="B34" s="45"/>
      <c r="C34" s="168">
        <v>204</v>
      </c>
      <c r="D34" s="167">
        <v>204</v>
      </c>
      <c r="E34" s="80">
        <v>0.49</v>
      </c>
      <c r="F34" s="80">
        <v>0.49</v>
      </c>
      <c r="G34" s="80">
        <v>0.49</v>
      </c>
      <c r="H34" s="80">
        <v>0.49</v>
      </c>
      <c r="I34" s="80">
        <v>0.49</v>
      </c>
      <c r="J34" s="80"/>
      <c r="K34" s="166">
        <v>26.3</v>
      </c>
      <c r="L34" s="165">
        <v>26.35</v>
      </c>
      <c r="M34" s="116" t="s">
        <v>20</v>
      </c>
      <c r="N34" s="25"/>
      <c r="O34" s="25"/>
      <c r="P34" s="23"/>
      <c r="Q34" s="115"/>
      <c r="R34" s="162">
        <v>35.200000000000003</v>
      </c>
      <c r="S34" s="36">
        <f t="shared" si="0"/>
        <v>13.376670706269211</v>
      </c>
      <c r="T34" s="35">
        <v>3</v>
      </c>
      <c r="U34" s="35"/>
      <c r="V34" s="161">
        <v>22</v>
      </c>
      <c r="W34" s="160">
        <f t="shared" si="1"/>
        <v>0</v>
      </c>
      <c r="X34" s="35">
        <f t="shared" si="2"/>
        <v>0</v>
      </c>
      <c r="Y34" s="35">
        <v>0</v>
      </c>
      <c r="Z34" s="34">
        <v>0</v>
      </c>
      <c r="AA34" s="33">
        <f t="shared" si="3"/>
        <v>0</v>
      </c>
      <c r="AB34" s="150"/>
      <c r="AC34" s="79"/>
      <c r="AD34" s="79"/>
      <c r="AE34" s="1"/>
      <c r="AF34" s="1"/>
      <c r="AG34" s="1"/>
      <c r="AH34" s="1"/>
    </row>
    <row r="35" spans="1:34">
      <c r="A35" s="32">
        <v>23</v>
      </c>
      <c r="B35" s="45"/>
      <c r="C35" s="168">
        <v>204</v>
      </c>
      <c r="D35" s="167">
        <v>204</v>
      </c>
      <c r="E35" s="80">
        <v>0.5</v>
      </c>
      <c r="F35" s="80">
        <v>0.5</v>
      </c>
      <c r="G35" s="80">
        <v>0.5</v>
      </c>
      <c r="H35" s="80">
        <v>0.5</v>
      </c>
      <c r="I35" s="80">
        <v>0.5</v>
      </c>
      <c r="J35" s="80"/>
      <c r="K35" s="166">
        <v>26.1</v>
      </c>
      <c r="L35" s="165">
        <v>26.22</v>
      </c>
      <c r="M35" s="116"/>
      <c r="N35" s="25"/>
      <c r="O35" s="25" t="s">
        <v>20</v>
      </c>
      <c r="P35" s="23"/>
      <c r="Q35" s="115"/>
      <c r="R35" s="162">
        <v>36</v>
      </c>
      <c r="S35" s="36">
        <f t="shared" si="0"/>
        <v>13.491635186184565</v>
      </c>
      <c r="T35" s="35">
        <v>3</v>
      </c>
      <c r="U35" s="35"/>
      <c r="V35" s="161">
        <v>23</v>
      </c>
      <c r="W35" s="160">
        <f t="shared" si="1"/>
        <v>0</v>
      </c>
      <c r="X35" s="35">
        <f t="shared" si="2"/>
        <v>0</v>
      </c>
      <c r="Y35" s="35">
        <v>0</v>
      </c>
      <c r="Z35" s="34">
        <v>0</v>
      </c>
      <c r="AA35" s="33">
        <f t="shared" si="3"/>
        <v>0</v>
      </c>
      <c r="AB35" s="150"/>
      <c r="AC35" s="79"/>
      <c r="AD35" s="79"/>
      <c r="AE35" s="1"/>
      <c r="AF35" s="1"/>
      <c r="AG35" s="1"/>
      <c r="AH35" s="1"/>
    </row>
    <row r="36" spans="1:34">
      <c r="A36" s="32">
        <v>24</v>
      </c>
      <c r="B36" s="45"/>
      <c r="C36" s="168">
        <v>204</v>
      </c>
      <c r="D36" s="167">
        <v>204</v>
      </c>
      <c r="E36" s="80">
        <v>0.5</v>
      </c>
      <c r="F36" s="80">
        <v>0.5</v>
      </c>
      <c r="G36" s="80">
        <v>0.5</v>
      </c>
      <c r="H36" s="80">
        <v>0.5</v>
      </c>
      <c r="I36" s="80">
        <v>0.5</v>
      </c>
      <c r="J36" s="80"/>
      <c r="K36" s="166">
        <v>26.1</v>
      </c>
      <c r="L36" s="165">
        <v>26.16</v>
      </c>
      <c r="M36" s="116" t="s">
        <v>20</v>
      </c>
      <c r="N36" s="25" t="s">
        <v>20</v>
      </c>
      <c r="O36" s="25"/>
      <c r="P36" s="23"/>
      <c r="Q36" s="40"/>
      <c r="R36" s="162">
        <v>36.299999999999997</v>
      </c>
      <c r="S36" s="36">
        <f t="shared" si="0"/>
        <v>13.619684383512299</v>
      </c>
      <c r="T36" s="35">
        <v>3</v>
      </c>
      <c r="U36" s="35"/>
      <c r="V36" s="161">
        <v>24</v>
      </c>
      <c r="W36" s="160">
        <f t="shared" si="1"/>
        <v>0</v>
      </c>
      <c r="X36" s="35">
        <f t="shared" si="2"/>
        <v>0</v>
      </c>
      <c r="Y36" s="35">
        <v>0</v>
      </c>
      <c r="Z36" s="34">
        <v>0</v>
      </c>
      <c r="AA36" s="33">
        <f t="shared" si="3"/>
        <v>0</v>
      </c>
      <c r="AB36" s="150"/>
      <c r="AC36" s="79"/>
      <c r="AD36" s="79"/>
      <c r="AE36" s="1"/>
      <c r="AF36" s="1"/>
      <c r="AG36" s="1"/>
      <c r="AH36" s="1"/>
    </row>
    <row r="37" spans="1:34">
      <c r="A37" s="32">
        <v>25</v>
      </c>
      <c r="B37" s="45"/>
      <c r="C37" s="168">
        <v>204</v>
      </c>
      <c r="D37" s="167">
        <v>204</v>
      </c>
      <c r="E37" s="80">
        <v>0.51</v>
      </c>
      <c r="F37" s="80">
        <v>0.51</v>
      </c>
      <c r="G37" s="80">
        <v>0.51</v>
      </c>
      <c r="H37" s="80">
        <v>0.51</v>
      </c>
      <c r="I37" s="80">
        <v>0.51</v>
      </c>
      <c r="J37" s="80"/>
      <c r="K37" s="166">
        <v>26.25</v>
      </c>
      <c r="L37" s="165">
        <v>26.25</v>
      </c>
      <c r="M37" s="116"/>
      <c r="N37" s="25"/>
      <c r="O37" s="25" t="s">
        <v>20</v>
      </c>
      <c r="P37" s="23"/>
      <c r="Q37" s="115" t="s">
        <v>21</v>
      </c>
      <c r="R37" s="162">
        <v>36.200000000000003</v>
      </c>
      <c r="S37" s="36">
        <f t="shared" si="0"/>
        <v>13.254975192691456</v>
      </c>
      <c r="T37" s="35">
        <v>3</v>
      </c>
      <c r="U37" s="35"/>
      <c r="V37" s="161">
        <v>25</v>
      </c>
      <c r="W37" s="160">
        <f t="shared" si="1"/>
        <v>0</v>
      </c>
      <c r="X37" s="35">
        <f t="shared" si="2"/>
        <v>0</v>
      </c>
      <c r="Y37" s="35">
        <v>0</v>
      </c>
      <c r="Z37" s="34">
        <v>0</v>
      </c>
      <c r="AA37" s="33">
        <f t="shared" si="3"/>
        <v>0</v>
      </c>
      <c r="AB37" s="150"/>
      <c r="AC37" s="79"/>
      <c r="AD37" s="79"/>
      <c r="AE37" s="1"/>
      <c r="AF37" s="1"/>
      <c r="AG37" s="1"/>
      <c r="AH37" s="1"/>
    </row>
    <row r="38" spans="1:34">
      <c r="A38" s="32">
        <v>26</v>
      </c>
      <c r="B38" s="45"/>
      <c r="C38" s="168">
        <v>204</v>
      </c>
      <c r="D38" s="167">
        <v>204</v>
      </c>
      <c r="E38" s="80">
        <v>0.48</v>
      </c>
      <c r="F38" s="80">
        <v>0.48</v>
      </c>
      <c r="G38" s="80">
        <v>0.48</v>
      </c>
      <c r="H38" s="80">
        <v>0.48</v>
      </c>
      <c r="I38" s="80">
        <v>0.48</v>
      </c>
      <c r="J38" s="80"/>
      <c r="K38" s="166">
        <v>26.12</v>
      </c>
      <c r="L38" s="165">
        <v>26.17</v>
      </c>
      <c r="M38" s="116"/>
      <c r="N38" s="25"/>
      <c r="O38" s="25"/>
      <c r="P38" s="23" t="s">
        <v>22</v>
      </c>
      <c r="Q38" s="115" t="s">
        <v>19</v>
      </c>
      <c r="R38" s="162">
        <v>34.799999999999997</v>
      </c>
      <c r="S38" s="36">
        <f t="shared" si="0"/>
        <v>13.593121318139033</v>
      </c>
      <c r="T38" s="35">
        <v>3</v>
      </c>
      <c r="U38" s="35"/>
      <c r="V38" s="161">
        <v>26</v>
      </c>
      <c r="W38" s="160">
        <f t="shared" si="1"/>
        <v>0</v>
      </c>
      <c r="X38" s="35">
        <f t="shared" si="2"/>
        <v>0</v>
      </c>
      <c r="Y38" s="35">
        <v>0</v>
      </c>
      <c r="Z38" s="34">
        <v>0</v>
      </c>
      <c r="AA38" s="33">
        <f t="shared" si="3"/>
        <v>1</v>
      </c>
      <c r="AB38" s="150"/>
      <c r="AC38" s="79"/>
      <c r="AD38" s="79"/>
      <c r="AE38" s="1"/>
      <c r="AF38" s="1"/>
      <c r="AG38" s="1"/>
      <c r="AH38" s="1"/>
    </row>
    <row r="39" spans="1:34">
      <c r="A39" s="32">
        <v>27</v>
      </c>
      <c r="B39" s="45"/>
      <c r="C39" s="168">
        <v>204</v>
      </c>
      <c r="D39" s="167">
        <v>204</v>
      </c>
      <c r="E39" s="80">
        <v>0.51</v>
      </c>
      <c r="F39" s="80">
        <v>0.51</v>
      </c>
      <c r="G39" s="80">
        <v>0.51</v>
      </c>
      <c r="H39" s="80">
        <v>0.51</v>
      </c>
      <c r="I39" s="80">
        <v>0.51</v>
      </c>
      <c r="J39" s="80"/>
      <c r="K39" s="166">
        <v>26.25</v>
      </c>
      <c r="L39" s="165">
        <v>26.46</v>
      </c>
      <c r="M39" s="116" t="s">
        <v>20</v>
      </c>
      <c r="N39" s="25"/>
      <c r="O39" s="25" t="s">
        <v>20</v>
      </c>
      <c r="P39" s="23" t="s">
        <v>20</v>
      </c>
      <c r="Q39" s="115"/>
      <c r="R39" s="162">
        <v>36.799999999999997</v>
      </c>
      <c r="S39" s="36">
        <f t="shared" si="0"/>
        <v>13.42098696625227</v>
      </c>
      <c r="T39" s="35">
        <v>3</v>
      </c>
      <c r="U39" s="35"/>
      <c r="V39" s="161">
        <v>27</v>
      </c>
      <c r="W39" s="160">
        <f t="shared" si="1"/>
        <v>0</v>
      </c>
      <c r="X39" s="35">
        <f t="shared" si="2"/>
        <v>0</v>
      </c>
      <c r="Y39" s="35">
        <v>0</v>
      </c>
      <c r="Z39" s="34">
        <v>0</v>
      </c>
      <c r="AA39" s="33">
        <f t="shared" si="3"/>
        <v>0</v>
      </c>
      <c r="AB39" s="150"/>
      <c r="AC39" s="79"/>
      <c r="AD39" s="79"/>
      <c r="AE39" s="1"/>
      <c r="AF39" s="1"/>
      <c r="AG39" s="1"/>
      <c r="AH39" s="1"/>
    </row>
    <row r="40" spans="1:34">
      <c r="A40" s="32">
        <v>28</v>
      </c>
      <c r="B40" s="45"/>
      <c r="C40" s="168">
        <v>204</v>
      </c>
      <c r="D40" s="167">
        <v>204</v>
      </c>
      <c r="E40" s="80">
        <v>0.5</v>
      </c>
      <c r="F40" s="80">
        <v>0.5</v>
      </c>
      <c r="G40" s="80">
        <v>0.5</v>
      </c>
      <c r="H40" s="80">
        <v>0.51</v>
      </c>
      <c r="I40" s="80">
        <v>0.51</v>
      </c>
      <c r="J40" s="80"/>
      <c r="K40" s="166">
        <v>26.26</v>
      </c>
      <c r="L40" s="165">
        <v>26.38</v>
      </c>
      <c r="M40" s="116"/>
      <c r="N40" s="25" t="s">
        <v>20</v>
      </c>
      <c r="O40" s="25"/>
      <c r="P40" s="23"/>
      <c r="Q40" s="115"/>
      <c r="R40" s="162">
        <v>36.6</v>
      </c>
      <c r="S40" s="36">
        <f t="shared" si="0"/>
        <v>13.524913511503895</v>
      </c>
      <c r="T40" s="35">
        <v>3</v>
      </c>
      <c r="U40" s="35"/>
      <c r="V40" s="161">
        <v>28</v>
      </c>
      <c r="W40" s="160">
        <f t="shared" si="1"/>
        <v>1.0000000000000009E-2</v>
      </c>
      <c r="X40" s="35">
        <f t="shared" si="2"/>
        <v>0</v>
      </c>
      <c r="Y40" s="35">
        <v>0</v>
      </c>
      <c r="Z40" s="34">
        <v>0</v>
      </c>
      <c r="AA40" s="33">
        <f t="shared" si="3"/>
        <v>0</v>
      </c>
      <c r="AB40" s="150"/>
      <c r="AC40" s="79"/>
      <c r="AD40" s="79"/>
      <c r="AE40" s="1"/>
      <c r="AF40" s="1"/>
      <c r="AG40" s="1"/>
      <c r="AH40" s="1"/>
    </row>
    <row r="41" spans="1:34">
      <c r="A41" s="32">
        <v>29</v>
      </c>
      <c r="B41" s="45"/>
      <c r="C41" s="168">
        <v>204</v>
      </c>
      <c r="D41" s="167">
        <v>204</v>
      </c>
      <c r="E41" s="80">
        <v>0.5</v>
      </c>
      <c r="F41" s="80">
        <v>0.5</v>
      </c>
      <c r="G41" s="80">
        <v>0.5</v>
      </c>
      <c r="H41" s="80">
        <v>0.5</v>
      </c>
      <c r="I41" s="80">
        <v>0.5</v>
      </c>
      <c r="J41" s="80"/>
      <c r="K41" s="166">
        <v>26.26</v>
      </c>
      <c r="L41" s="165">
        <v>26.36</v>
      </c>
      <c r="M41" s="116" t="s">
        <v>20</v>
      </c>
      <c r="N41" s="25"/>
      <c r="O41" s="25"/>
      <c r="P41" s="23"/>
      <c r="Q41" s="115" t="s">
        <v>21</v>
      </c>
      <c r="R41" s="162">
        <v>36.299999999999997</v>
      </c>
      <c r="S41" s="36">
        <f t="shared" si="0"/>
        <v>13.526505242918144</v>
      </c>
      <c r="T41" s="35">
        <v>3</v>
      </c>
      <c r="U41" s="35"/>
      <c r="V41" s="161">
        <v>29</v>
      </c>
      <c r="W41" s="160">
        <f t="shared" si="1"/>
        <v>0</v>
      </c>
      <c r="X41" s="35">
        <f t="shared" si="2"/>
        <v>0</v>
      </c>
      <c r="Y41" s="35">
        <v>0</v>
      </c>
      <c r="Z41" s="34">
        <v>0</v>
      </c>
      <c r="AA41" s="33">
        <f t="shared" si="3"/>
        <v>0</v>
      </c>
      <c r="AB41" s="150"/>
      <c r="AC41" s="79"/>
      <c r="AD41" s="79"/>
      <c r="AE41" s="1"/>
      <c r="AF41" s="1"/>
      <c r="AG41" s="1"/>
      <c r="AH41" s="1"/>
    </row>
    <row r="42" spans="1:34">
      <c r="A42" s="32">
        <v>30</v>
      </c>
      <c r="B42" s="45"/>
      <c r="C42" s="168">
        <v>204</v>
      </c>
      <c r="D42" s="167">
        <v>204</v>
      </c>
      <c r="E42" s="80">
        <v>0.49</v>
      </c>
      <c r="F42" s="80">
        <v>0.5</v>
      </c>
      <c r="G42" s="80">
        <v>0.5</v>
      </c>
      <c r="H42" s="80">
        <v>0.5</v>
      </c>
      <c r="I42" s="80">
        <v>0.5</v>
      </c>
      <c r="J42" s="80"/>
      <c r="K42" s="166">
        <v>26.41</v>
      </c>
      <c r="L42" s="165">
        <v>26.21</v>
      </c>
      <c r="M42" s="116"/>
      <c r="N42" s="25"/>
      <c r="O42" s="25"/>
      <c r="P42" s="23"/>
      <c r="Q42" s="115" t="s">
        <v>21</v>
      </c>
      <c r="R42" s="162">
        <v>36.1</v>
      </c>
      <c r="S42" s="36">
        <f t="shared" si="0"/>
        <v>13.506003055454462</v>
      </c>
      <c r="T42" s="35">
        <v>3</v>
      </c>
      <c r="U42" s="35"/>
      <c r="V42" s="161">
        <v>30</v>
      </c>
      <c r="W42" s="160">
        <f t="shared" si="1"/>
        <v>1.0000000000000009E-2</v>
      </c>
      <c r="X42" s="35">
        <f t="shared" si="2"/>
        <v>0</v>
      </c>
      <c r="Y42" s="35">
        <v>0</v>
      </c>
      <c r="Z42" s="34">
        <v>0</v>
      </c>
      <c r="AA42" s="33">
        <f t="shared" si="3"/>
        <v>0</v>
      </c>
      <c r="AB42" s="150"/>
      <c r="AC42" s="79"/>
      <c r="AD42" s="79"/>
      <c r="AE42" s="1"/>
      <c r="AF42" s="1"/>
      <c r="AG42" s="1"/>
      <c r="AH42" s="1"/>
    </row>
    <row r="43" spans="1:34">
      <c r="A43" s="32">
        <v>31</v>
      </c>
      <c r="B43" s="45"/>
      <c r="C43" s="168">
        <v>204</v>
      </c>
      <c r="D43" s="167">
        <v>204</v>
      </c>
      <c r="E43" s="80">
        <v>0.51</v>
      </c>
      <c r="F43" s="80">
        <v>0.51</v>
      </c>
      <c r="G43" s="80">
        <v>0.51</v>
      </c>
      <c r="H43" s="80">
        <v>0.51</v>
      </c>
      <c r="I43" s="80">
        <v>0.51</v>
      </c>
      <c r="J43" s="80"/>
      <c r="K43" s="166">
        <v>26.38</v>
      </c>
      <c r="L43" s="165">
        <v>26.21</v>
      </c>
      <c r="M43" s="116"/>
      <c r="N43" s="25" t="s">
        <v>22</v>
      </c>
      <c r="O43" s="25"/>
      <c r="P43" s="23"/>
      <c r="Q43" s="40" t="s">
        <v>50</v>
      </c>
      <c r="R43" s="162">
        <v>36.5</v>
      </c>
      <c r="S43" s="36">
        <f t="shared" si="0"/>
        <v>13.34195113716922</v>
      </c>
      <c r="T43" s="35">
        <v>3</v>
      </c>
      <c r="U43" s="35"/>
      <c r="V43" s="161">
        <v>31</v>
      </c>
      <c r="W43" s="160">
        <f t="shared" si="1"/>
        <v>0</v>
      </c>
      <c r="X43" s="35">
        <f t="shared" si="2"/>
        <v>0</v>
      </c>
      <c r="Y43" s="35">
        <v>0</v>
      </c>
      <c r="Z43" s="34">
        <v>0</v>
      </c>
      <c r="AA43" s="33">
        <f t="shared" si="3"/>
        <v>1</v>
      </c>
      <c r="AB43" s="150"/>
      <c r="AC43" s="79"/>
      <c r="AD43" s="79"/>
      <c r="AE43" s="1"/>
      <c r="AF43" s="1"/>
      <c r="AG43" s="1"/>
      <c r="AH43" s="1"/>
    </row>
    <row r="44" spans="1:34">
      <c r="A44" s="32">
        <v>32</v>
      </c>
      <c r="B44" s="45"/>
      <c r="C44" s="168">
        <v>204</v>
      </c>
      <c r="D44" s="167">
        <v>204</v>
      </c>
      <c r="E44" s="80">
        <v>0.5</v>
      </c>
      <c r="F44" s="80">
        <v>0.5</v>
      </c>
      <c r="G44" s="80">
        <v>0.5</v>
      </c>
      <c r="H44" s="80">
        <v>0.5</v>
      </c>
      <c r="I44" s="80">
        <v>0.5</v>
      </c>
      <c r="J44" s="80"/>
      <c r="K44" s="166">
        <v>26.3</v>
      </c>
      <c r="L44" s="165">
        <v>26.22</v>
      </c>
      <c r="M44" s="116"/>
      <c r="N44" s="25" t="s">
        <v>20</v>
      </c>
      <c r="O44" s="25"/>
      <c r="P44" s="23" t="s">
        <v>22</v>
      </c>
      <c r="Q44" s="115" t="s">
        <v>21</v>
      </c>
      <c r="R44" s="162">
        <v>36.1</v>
      </c>
      <c r="S44" s="36">
        <f t="shared" ref="S44:S75" si="4">R44/(AVERAGE(C44:D44)*AVERAGE(E44:J44)*AVERAGE(K44:L44)*0.001)</f>
        <v>13.477592103101712</v>
      </c>
      <c r="T44" s="35">
        <v>3</v>
      </c>
      <c r="U44" s="35"/>
      <c r="V44" s="161">
        <v>32</v>
      </c>
      <c r="W44" s="160">
        <f t="shared" ref="W44:W75" si="5">MAX(E44:I44)-MIN(E44:I44)</f>
        <v>0</v>
      </c>
      <c r="X44" s="35">
        <f t="shared" ref="X44:X75" si="6">IF(OR(ABS(E44-$C$6)&gt;($C$6*0.1),ABS(F44-$C$6)&gt;($C$6*0.1),ABS(G44-$C$6)&gt;($C$6*0.1),ABS(H44-$C$6)&gt;($C$6*0.1),ABS(I44-$C$6)&gt;($C$6*0.1)),1,0)</f>
        <v>0</v>
      </c>
      <c r="Y44" s="35">
        <v>0</v>
      </c>
      <c r="Z44" s="34">
        <v>0</v>
      </c>
      <c r="AA44" s="33">
        <f t="shared" ref="AA44:AA75" si="7">IF(OR(M44="Y",N44="Y",O44="Y",P44="Y"),1,0)</f>
        <v>1</v>
      </c>
      <c r="AB44" s="150"/>
      <c r="AC44" s="79"/>
      <c r="AD44" s="79"/>
      <c r="AE44" s="1"/>
      <c r="AF44" s="1"/>
      <c r="AG44" s="1"/>
      <c r="AH44" s="1"/>
    </row>
    <row r="45" spans="1:34">
      <c r="A45" s="32">
        <v>33</v>
      </c>
      <c r="B45" s="45"/>
      <c r="C45" s="168">
        <v>204</v>
      </c>
      <c r="D45" s="167">
        <v>204</v>
      </c>
      <c r="E45" s="80">
        <v>0.5</v>
      </c>
      <c r="F45" s="80">
        <v>0.5</v>
      </c>
      <c r="G45" s="80">
        <v>0.5</v>
      </c>
      <c r="H45" s="80">
        <v>0.5</v>
      </c>
      <c r="I45" s="80">
        <v>0.5</v>
      </c>
      <c r="J45" s="80"/>
      <c r="K45" s="166">
        <v>26.47</v>
      </c>
      <c r="L45" s="165">
        <v>26.21</v>
      </c>
      <c r="M45" s="116"/>
      <c r="N45" s="25"/>
      <c r="O45" s="25"/>
      <c r="P45" s="23"/>
      <c r="Q45" s="115"/>
      <c r="R45" s="162">
        <v>36.299999999999997</v>
      </c>
      <c r="S45" s="36">
        <f t="shared" si="4"/>
        <v>13.511099200500245</v>
      </c>
      <c r="T45" s="35">
        <v>3</v>
      </c>
      <c r="U45" s="35"/>
      <c r="V45" s="161">
        <v>33</v>
      </c>
      <c r="W45" s="160">
        <f t="shared" si="5"/>
        <v>0</v>
      </c>
      <c r="X45" s="35">
        <f t="shared" si="6"/>
        <v>0</v>
      </c>
      <c r="Y45" s="35">
        <v>0</v>
      </c>
      <c r="Z45" s="34">
        <v>0</v>
      </c>
      <c r="AA45" s="33">
        <f t="shared" si="7"/>
        <v>0</v>
      </c>
      <c r="AB45" s="150"/>
      <c r="AC45" s="79"/>
      <c r="AD45" s="79"/>
      <c r="AE45" s="1"/>
      <c r="AF45" s="1"/>
      <c r="AG45" s="1"/>
      <c r="AH45" s="1"/>
    </row>
    <row r="46" spans="1:34">
      <c r="A46" s="32">
        <v>34</v>
      </c>
      <c r="B46" s="45"/>
      <c r="C46" s="168">
        <v>204</v>
      </c>
      <c r="D46" s="167">
        <v>204</v>
      </c>
      <c r="E46" s="80">
        <v>0.51</v>
      </c>
      <c r="F46" s="80">
        <v>0.5</v>
      </c>
      <c r="G46" s="80">
        <v>0.5</v>
      </c>
      <c r="H46" s="80">
        <v>0.5</v>
      </c>
      <c r="I46" s="80">
        <v>0.5</v>
      </c>
      <c r="J46" s="80"/>
      <c r="K46" s="166">
        <v>26.44</v>
      </c>
      <c r="L46" s="165">
        <v>26.23</v>
      </c>
      <c r="M46" s="116"/>
      <c r="N46" s="25" t="s">
        <v>20</v>
      </c>
      <c r="O46" s="25" t="s">
        <v>20</v>
      </c>
      <c r="P46" s="23"/>
      <c r="Q46" s="115" t="s">
        <v>21</v>
      </c>
      <c r="R46" s="162">
        <v>36.299999999999997</v>
      </c>
      <c r="S46" s="36">
        <f t="shared" si="4"/>
        <v>13.459825136181168</v>
      </c>
      <c r="T46" s="35">
        <v>3</v>
      </c>
      <c r="U46" s="35"/>
      <c r="V46" s="161">
        <v>34</v>
      </c>
      <c r="W46" s="160">
        <f t="shared" si="5"/>
        <v>1.0000000000000009E-2</v>
      </c>
      <c r="X46" s="35">
        <f t="shared" si="6"/>
        <v>0</v>
      </c>
      <c r="Y46" s="35">
        <v>0</v>
      </c>
      <c r="Z46" s="34">
        <v>0</v>
      </c>
      <c r="AA46" s="33">
        <f t="shared" si="7"/>
        <v>0</v>
      </c>
      <c r="AB46" s="150"/>
      <c r="AC46" s="79"/>
      <c r="AD46" s="79"/>
      <c r="AE46" s="1"/>
      <c r="AF46" s="1"/>
      <c r="AG46" s="1"/>
      <c r="AH46" s="1"/>
    </row>
    <row r="47" spans="1:34">
      <c r="A47" s="32">
        <v>35</v>
      </c>
      <c r="B47" s="45"/>
      <c r="C47" s="168">
        <v>204</v>
      </c>
      <c r="D47" s="167">
        <v>204</v>
      </c>
      <c r="E47" s="80">
        <v>0.49</v>
      </c>
      <c r="F47" s="80">
        <v>0.49</v>
      </c>
      <c r="G47" s="80">
        <v>0.49</v>
      </c>
      <c r="H47" s="80">
        <v>0.48</v>
      </c>
      <c r="I47" s="80">
        <v>0.48</v>
      </c>
      <c r="J47" s="80"/>
      <c r="K47" s="166">
        <v>26.37</v>
      </c>
      <c r="L47" s="165">
        <v>26.29</v>
      </c>
      <c r="M47" s="116" t="s">
        <v>22</v>
      </c>
      <c r="N47" s="25"/>
      <c r="O47" s="25"/>
      <c r="P47" s="23"/>
      <c r="Q47" s="115" t="s">
        <v>21</v>
      </c>
      <c r="R47" s="162">
        <v>35.299999999999997</v>
      </c>
      <c r="S47" s="36">
        <f t="shared" si="4"/>
        <v>13.522513061215323</v>
      </c>
      <c r="T47" s="35">
        <v>3</v>
      </c>
      <c r="U47" s="35"/>
      <c r="V47" s="161">
        <v>35</v>
      </c>
      <c r="W47" s="160">
        <f t="shared" si="5"/>
        <v>1.0000000000000009E-2</v>
      </c>
      <c r="X47" s="35">
        <f t="shared" si="6"/>
        <v>0</v>
      </c>
      <c r="Y47" s="35">
        <v>0</v>
      </c>
      <c r="Z47" s="34">
        <v>0</v>
      </c>
      <c r="AA47" s="33">
        <f t="shared" si="7"/>
        <v>1</v>
      </c>
      <c r="AB47" s="150"/>
      <c r="AC47" s="79"/>
      <c r="AD47" s="79"/>
      <c r="AE47" s="1"/>
      <c r="AF47" s="1"/>
      <c r="AG47" s="1"/>
      <c r="AH47" s="1"/>
    </row>
    <row r="48" spans="1:34">
      <c r="A48" s="32">
        <v>36</v>
      </c>
      <c r="B48" s="45"/>
      <c r="C48" s="168">
        <v>204</v>
      </c>
      <c r="D48" s="167">
        <v>204</v>
      </c>
      <c r="E48" s="80">
        <v>0.5</v>
      </c>
      <c r="F48" s="80">
        <v>0.51</v>
      </c>
      <c r="G48" s="80">
        <v>0.51</v>
      </c>
      <c r="H48" s="80">
        <v>0.51</v>
      </c>
      <c r="I48" s="80">
        <v>0.51</v>
      </c>
      <c r="J48" s="80"/>
      <c r="K48" s="166">
        <v>26.41</v>
      </c>
      <c r="L48" s="165">
        <v>26.18</v>
      </c>
      <c r="M48" s="116"/>
      <c r="N48" s="25" t="s">
        <v>20</v>
      </c>
      <c r="O48" s="25"/>
      <c r="P48" s="23"/>
      <c r="Q48" s="115" t="s">
        <v>21</v>
      </c>
      <c r="R48" s="162">
        <v>36.799999999999997</v>
      </c>
      <c r="S48" s="36">
        <f t="shared" si="4"/>
        <v>13.504570107992228</v>
      </c>
      <c r="T48" s="35">
        <v>3</v>
      </c>
      <c r="U48" s="35"/>
      <c r="V48" s="161">
        <v>36</v>
      </c>
      <c r="W48" s="160">
        <f t="shared" si="5"/>
        <v>1.0000000000000009E-2</v>
      </c>
      <c r="X48" s="35">
        <f t="shared" si="6"/>
        <v>0</v>
      </c>
      <c r="Y48" s="35">
        <v>0</v>
      </c>
      <c r="Z48" s="34">
        <v>0</v>
      </c>
      <c r="AA48" s="33">
        <f t="shared" si="7"/>
        <v>0</v>
      </c>
      <c r="AB48" s="150"/>
      <c r="AC48" s="79"/>
      <c r="AD48" s="79"/>
      <c r="AE48" s="1"/>
      <c r="AF48" s="1"/>
      <c r="AG48" s="1"/>
      <c r="AH48" s="1"/>
    </row>
    <row r="49" spans="1:34">
      <c r="A49" s="32">
        <v>37</v>
      </c>
      <c r="B49" s="45"/>
      <c r="C49" s="168">
        <v>204</v>
      </c>
      <c r="D49" s="167">
        <v>204</v>
      </c>
      <c r="E49" s="80">
        <v>0.5</v>
      </c>
      <c r="F49" s="80">
        <v>0.5</v>
      </c>
      <c r="G49" s="80">
        <v>0.5</v>
      </c>
      <c r="H49" s="80">
        <v>0.5</v>
      </c>
      <c r="I49" s="80">
        <v>0.51</v>
      </c>
      <c r="J49" s="80"/>
      <c r="K49" s="166">
        <v>26.19</v>
      </c>
      <c r="L49" s="165">
        <v>26.1</v>
      </c>
      <c r="M49" s="116"/>
      <c r="N49" s="25" t="s">
        <v>20</v>
      </c>
      <c r="O49" s="25" t="s">
        <v>20</v>
      </c>
      <c r="P49" s="23"/>
      <c r="Q49" s="40" t="s">
        <v>23</v>
      </c>
      <c r="R49" s="162">
        <v>35.9</v>
      </c>
      <c r="S49" s="36">
        <f t="shared" si="4"/>
        <v>13.408244410528679</v>
      </c>
      <c r="T49" s="35">
        <v>3</v>
      </c>
      <c r="U49" s="35"/>
      <c r="V49" s="161">
        <v>37</v>
      </c>
      <c r="W49" s="160">
        <f t="shared" si="5"/>
        <v>1.0000000000000009E-2</v>
      </c>
      <c r="X49" s="35">
        <f t="shared" si="6"/>
        <v>0</v>
      </c>
      <c r="Y49" s="35">
        <v>0</v>
      </c>
      <c r="Z49" s="34">
        <v>0</v>
      </c>
      <c r="AA49" s="33">
        <f t="shared" si="7"/>
        <v>0</v>
      </c>
      <c r="AB49" s="150"/>
      <c r="AC49" s="79"/>
      <c r="AD49" s="79"/>
      <c r="AE49" s="1"/>
      <c r="AF49" s="1"/>
      <c r="AG49" s="1"/>
      <c r="AH49" s="1"/>
    </row>
    <row r="50" spans="1:34">
      <c r="A50" s="32">
        <v>38</v>
      </c>
      <c r="B50" s="45"/>
      <c r="C50" s="168">
        <v>204</v>
      </c>
      <c r="D50" s="167">
        <v>204</v>
      </c>
      <c r="E50" s="80">
        <v>0.51</v>
      </c>
      <c r="F50" s="80">
        <v>0.5</v>
      </c>
      <c r="G50" s="80">
        <v>0.5</v>
      </c>
      <c r="H50" s="80">
        <v>0.5</v>
      </c>
      <c r="I50" s="80">
        <v>0.5</v>
      </c>
      <c r="J50" s="80"/>
      <c r="K50" s="166">
        <v>26.23</v>
      </c>
      <c r="L50" s="165">
        <v>26.38</v>
      </c>
      <c r="M50" s="116"/>
      <c r="N50" s="25"/>
      <c r="O50" s="25" t="s">
        <v>20</v>
      </c>
      <c r="P50" s="23"/>
      <c r="Q50" s="40"/>
      <c r="R50" s="162">
        <v>36.1</v>
      </c>
      <c r="S50" s="36">
        <f t="shared" si="4"/>
        <v>13.400932238635308</v>
      </c>
      <c r="T50" s="35">
        <v>3</v>
      </c>
      <c r="U50" s="35"/>
      <c r="V50" s="161">
        <v>38</v>
      </c>
      <c r="W50" s="160">
        <f t="shared" si="5"/>
        <v>1.0000000000000009E-2</v>
      </c>
      <c r="X50" s="35">
        <f t="shared" si="6"/>
        <v>0</v>
      </c>
      <c r="Y50" s="35">
        <v>0</v>
      </c>
      <c r="Z50" s="34">
        <v>0</v>
      </c>
      <c r="AA50" s="33">
        <f t="shared" si="7"/>
        <v>0</v>
      </c>
      <c r="AB50" s="150"/>
      <c r="AC50" s="79"/>
      <c r="AD50" s="79"/>
      <c r="AE50" s="1"/>
      <c r="AF50" s="1"/>
      <c r="AG50" s="1"/>
      <c r="AH50" s="1"/>
    </row>
    <row r="51" spans="1:34">
      <c r="A51" s="32">
        <v>39</v>
      </c>
      <c r="B51" s="45"/>
      <c r="C51" s="168">
        <v>204</v>
      </c>
      <c r="D51" s="167">
        <v>204</v>
      </c>
      <c r="E51" s="80">
        <v>0.5</v>
      </c>
      <c r="F51" s="80">
        <v>0.5</v>
      </c>
      <c r="G51" s="80">
        <v>0.5</v>
      </c>
      <c r="H51" s="80">
        <v>0.5</v>
      </c>
      <c r="I51" s="80">
        <v>0.5</v>
      </c>
      <c r="J51" s="80"/>
      <c r="K51" s="166">
        <v>26.45</v>
      </c>
      <c r="L51" s="165">
        <v>26.24</v>
      </c>
      <c r="M51" s="116"/>
      <c r="N51" s="25" t="s">
        <v>20</v>
      </c>
      <c r="O51" s="25"/>
      <c r="P51" s="23"/>
      <c r="Q51" s="115"/>
      <c r="R51" s="162">
        <v>35.9</v>
      </c>
      <c r="S51" s="36">
        <f t="shared" si="4"/>
        <v>13.35968055850163</v>
      </c>
      <c r="T51" s="35">
        <v>3</v>
      </c>
      <c r="U51" s="35"/>
      <c r="V51" s="161">
        <v>39</v>
      </c>
      <c r="W51" s="160">
        <f t="shared" si="5"/>
        <v>0</v>
      </c>
      <c r="X51" s="35">
        <f t="shared" si="6"/>
        <v>0</v>
      </c>
      <c r="Y51" s="35">
        <v>0</v>
      </c>
      <c r="Z51" s="34">
        <v>0</v>
      </c>
      <c r="AA51" s="33">
        <f t="shared" si="7"/>
        <v>0</v>
      </c>
      <c r="AB51" s="150"/>
      <c r="AC51" s="79"/>
      <c r="AD51" s="79"/>
      <c r="AE51" s="1"/>
      <c r="AF51" s="1"/>
      <c r="AG51" s="1"/>
      <c r="AH51" s="1"/>
    </row>
    <row r="52" spans="1:34">
      <c r="A52" s="32">
        <v>40</v>
      </c>
      <c r="B52" s="45"/>
      <c r="C52" s="168">
        <v>204</v>
      </c>
      <c r="D52" s="167">
        <v>204</v>
      </c>
      <c r="E52" s="80">
        <v>0.5</v>
      </c>
      <c r="F52" s="80">
        <v>0.5</v>
      </c>
      <c r="G52" s="80">
        <v>0.5</v>
      </c>
      <c r="H52" s="80">
        <v>0.49</v>
      </c>
      <c r="I52" s="80">
        <v>0.49</v>
      </c>
      <c r="J52" s="80"/>
      <c r="K52" s="166">
        <v>26.29</v>
      </c>
      <c r="L52" s="165">
        <v>26.37</v>
      </c>
      <c r="M52" s="116"/>
      <c r="N52" s="25" t="s">
        <v>20</v>
      </c>
      <c r="O52" s="25"/>
      <c r="P52" s="23"/>
      <c r="Q52" s="115" t="s">
        <v>21</v>
      </c>
      <c r="R52" s="162">
        <v>35.5</v>
      </c>
      <c r="S52" s="36">
        <f t="shared" si="4"/>
        <v>13.324951901052495</v>
      </c>
      <c r="T52" s="35">
        <v>3</v>
      </c>
      <c r="U52" s="35"/>
      <c r="V52" s="161">
        <v>40</v>
      </c>
      <c r="W52" s="160">
        <f t="shared" si="5"/>
        <v>1.0000000000000009E-2</v>
      </c>
      <c r="X52" s="35">
        <f t="shared" si="6"/>
        <v>0</v>
      </c>
      <c r="Y52" s="35">
        <v>0</v>
      </c>
      <c r="Z52" s="34">
        <v>0</v>
      </c>
      <c r="AA52" s="33">
        <f t="shared" si="7"/>
        <v>0</v>
      </c>
      <c r="AB52" s="150"/>
      <c r="AC52" s="79"/>
      <c r="AD52" s="79"/>
      <c r="AE52" s="1"/>
      <c r="AF52" s="1"/>
      <c r="AG52" s="1"/>
      <c r="AH52" s="1"/>
    </row>
    <row r="53" spans="1:34">
      <c r="A53" s="32">
        <v>41</v>
      </c>
      <c r="B53" s="45"/>
      <c r="C53" s="168">
        <v>204</v>
      </c>
      <c r="D53" s="167">
        <v>204</v>
      </c>
      <c r="E53" s="80">
        <v>0.51</v>
      </c>
      <c r="F53" s="80">
        <v>0.51</v>
      </c>
      <c r="G53" s="80">
        <v>0.5</v>
      </c>
      <c r="H53" s="80">
        <v>0.5</v>
      </c>
      <c r="I53" s="80">
        <v>0.5</v>
      </c>
      <c r="J53" s="80"/>
      <c r="K53" s="166">
        <v>26.42</v>
      </c>
      <c r="L53" s="165">
        <v>26.24</v>
      </c>
      <c r="M53" s="116"/>
      <c r="N53" s="25"/>
      <c r="O53" s="25"/>
      <c r="P53" s="23"/>
      <c r="Q53" s="115"/>
      <c r="R53" s="162">
        <v>36.6</v>
      </c>
      <c r="S53" s="36">
        <f t="shared" si="4"/>
        <v>13.519776818183916</v>
      </c>
      <c r="T53" s="35">
        <v>3</v>
      </c>
      <c r="U53" s="35"/>
      <c r="V53" s="161">
        <v>41</v>
      </c>
      <c r="W53" s="160">
        <f t="shared" si="5"/>
        <v>1.0000000000000009E-2</v>
      </c>
      <c r="X53" s="35">
        <f t="shared" si="6"/>
        <v>0</v>
      </c>
      <c r="Y53" s="35">
        <v>0</v>
      </c>
      <c r="Z53" s="34">
        <v>0</v>
      </c>
      <c r="AA53" s="33">
        <f t="shared" si="7"/>
        <v>0</v>
      </c>
      <c r="AB53" s="150"/>
      <c r="AC53" s="79"/>
      <c r="AD53" s="79"/>
      <c r="AE53" s="1"/>
      <c r="AF53" s="1"/>
      <c r="AG53" s="1"/>
      <c r="AH53" s="1"/>
    </row>
    <row r="54" spans="1:34">
      <c r="A54" s="32">
        <v>42</v>
      </c>
      <c r="B54" s="45"/>
      <c r="C54" s="168">
        <v>204</v>
      </c>
      <c r="D54" s="167">
        <v>204</v>
      </c>
      <c r="E54" s="80">
        <v>0.5</v>
      </c>
      <c r="F54" s="80">
        <v>0.5</v>
      </c>
      <c r="G54" s="80">
        <v>0.5</v>
      </c>
      <c r="H54" s="80">
        <v>0.5</v>
      </c>
      <c r="I54" s="80">
        <v>0.49</v>
      </c>
      <c r="J54" s="80"/>
      <c r="K54" s="166">
        <v>26.36</v>
      </c>
      <c r="L54" s="165">
        <v>26.22</v>
      </c>
      <c r="M54" s="116"/>
      <c r="N54" s="25" t="s">
        <v>20</v>
      </c>
      <c r="O54" s="25" t="s">
        <v>20</v>
      </c>
      <c r="P54" s="23"/>
      <c r="Q54" s="40" t="s">
        <v>50</v>
      </c>
      <c r="R54" s="162">
        <v>36.1</v>
      </c>
      <c r="S54" s="36">
        <f t="shared" si="4"/>
        <v>13.516277686915444</v>
      </c>
      <c r="T54" s="35">
        <v>3</v>
      </c>
      <c r="U54" s="35"/>
      <c r="V54" s="161">
        <v>42</v>
      </c>
      <c r="W54" s="160">
        <f t="shared" si="5"/>
        <v>1.0000000000000009E-2</v>
      </c>
      <c r="X54" s="35">
        <f t="shared" si="6"/>
        <v>0</v>
      </c>
      <c r="Y54" s="35">
        <v>0</v>
      </c>
      <c r="Z54" s="34">
        <v>0</v>
      </c>
      <c r="AA54" s="33">
        <f t="shared" si="7"/>
        <v>0</v>
      </c>
      <c r="AB54" s="150"/>
      <c r="AC54" s="79"/>
      <c r="AD54" s="79"/>
      <c r="AE54" s="1"/>
      <c r="AF54" s="1"/>
      <c r="AG54" s="1"/>
      <c r="AH54" s="1"/>
    </row>
    <row r="55" spans="1:34">
      <c r="A55" s="32">
        <v>43</v>
      </c>
      <c r="B55" s="45"/>
      <c r="C55" s="168">
        <v>204</v>
      </c>
      <c r="D55" s="167">
        <v>204</v>
      </c>
      <c r="E55" s="80">
        <v>0.5</v>
      </c>
      <c r="F55" s="80">
        <v>0.5</v>
      </c>
      <c r="G55" s="80">
        <v>0.5</v>
      </c>
      <c r="H55" s="80">
        <v>0.5</v>
      </c>
      <c r="I55" s="80">
        <v>0.5</v>
      </c>
      <c r="J55" s="80"/>
      <c r="K55" s="166">
        <v>26.26</v>
      </c>
      <c r="L55" s="165">
        <v>26.34</v>
      </c>
      <c r="M55" s="116" t="s">
        <v>20</v>
      </c>
      <c r="N55" s="25"/>
      <c r="O55" s="25"/>
      <c r="P55" s="23"/>
      <c r="Q55" s="115" t="s">
        <v>19</v>
      </c>
      <c r="R55" s="162">
        <v>36.1</v>
      </c>
      <c r="S55" s="36">
        <f t="shared" si="4"/>
        <v>13.457093864161635</v>
      </c>
      <c r="T55" s="35">
        <v>3</v>
      </c>
      <c r="U55" s="35"/>
      <c r="V55" s="161">
        <v>43</v>
      </c>
      <c r="W55" s="160">
        <f t="shared" si="5"/>
        <v>0</v>
      </c>
      <c r="X55" s="35">
        <f t="shared" si="6"/>
        <v>0</v>
      </c>
      <c r="Y55" s="35">
        <v>0</v>
      </c>
      <c r="Z55" s="34">
        <v>0</v>
      </c>
      <c r="AA55" s="33">
        <f t="shared" si="7"/>
        <v>0</v>
      </c>
      <c r="AB55" s="150"/>
      <c r="AC55" s="79"/>
      <c r="AD55" s="79"/>
      <c r="AE55" s="1"/>
      <c r="AF55" s="1"/>
      <c r="AG55" s="1"/>
      <c r="AH55" s="1"/>
    </row>
    <row r="56" spans="1:34">
      <c r="A56" s="32">
        <v>44</v>
      </c>
      <c r="B56" s="45"/>
      <c r="C56" s="168">
        <v>204</v>
      </c>
      <c r="D56" s="167">
        <v>204</v>
      </c>
      <c r="E56" s="80">
        <v>0.5</v>
      </c>
      <c r="F56" s="80">
        <v>0.5</v>
      </c>
      <c r="G56" s="80">
        <v>0.5</v>
      </c>
      <c r="H56" s="80">
        <v>0.49</v>
      </c>
      <c r="I56" s="80">
        <v>0.49</v>
      </c>
      <c r="J56" s="80"/>
      <c r="K56" s="166">
        <v>26.32</v>
      </c>
      <c r="L56" s="165">
        <v>26.22</v>
      </c>
      <c r="M56" s="116"/>
      <c r="N56" s="25"/>
      <c r="O56" s="25"/>
      <c r="P56" s="23" t="s">
        <v>20</v>
      </c>
      <c r="Q56" s="115" t="s">
        <v>21</v>
      </c>
      <c r="R56" s="162">
        <v>36</v>
      </c>
      <c r="S56" s="36">
        <f t="shared" si="4"/>
        <v>13.543489770873046</v>
      </c>
      <c r="T56" s="35">
        <v>3</v>
      </c>
      <c r="U56" s="35"/>
      <c r="V56" s="161">
        <v>44</v>
      </c>
      <c r="W56" s="160">
        <f t="shared" si="5"/>
        <v>1.0000000000000009E-2</v>
      </c>
      <c r="X56" s="35">
        <f t="shared" si="6"/>
        <v>0</v>
      </c>
      <c r="Y56" s="35">
        <v>0</v>
      </c>
      <c r="Z56" s="34">
        <v>0</v>
      </c>
      <c r="AA56" s="33">
        <f t="shared" si="7"/>
        <v>0</v>
      </c>
      <c r="AB56" s="150"/>
      <c r="AC56" s="79"/>
      <c r="AD56" s="79"/>
      <c r="AE56" s="1"/>
      <c r="AF56" s="1"/>
      <c r="AG56" s="1"/>
      <c r="AH56" s="1"/>
    </row>
    <row r="57" spans="1:34">
      <c r="A57" s="32">
        <v>45</v>
      </c>
      <c r="B57" s="45"/>
      <c r="C57" s="168">
        <v>204</v>
      </c>
      <c r="D57" s="167">
        <v>204</v>
      </c>
      <c r="E57" s="80">
        <v>0.51</v>
      </c>
      <c r="F57" s="80">
        <v>0.51</v>
      </c>
      <c r="G57" s="80">
        <v>0.5</v>
      </c>
      <c r="H57" s="80">
        <v>0.5</v>
      </c>
      <c r="I57" s="80">
        <v>0.5</v>
      </c>
      <c r="J57" s="80"/>
      <c r="K57" s="166">
        <v>26.38</v>
      </c>
      <c r="L57" s="165">
        <v>26.22</v>
      </c>
      <c r="M57" s="116"/>
      <c r="N57" s="25"/>
      <c r="O57" s="25"/>
      <c r="P57" s="23" t="s">
        <v>20</v>
      </c>
      <c r="Q57" s="115"/>
      <c r="R57" s="162">
        <v>36.5</v>
      </c>
      <c r="S57" s="36">
        <f t="shared" si="4"/>
        <v>13.498217199849945</v>
      </c>
      <c r="T57" s="35">
        <v>3</v>
      </c>
      <c r="U57" s="35"/>
      <c r="V57" s="161">
        <v>45</v>
      </c>
      <c r="W57" s="160">
        <f t="shared" si="5"/>
        <v>1.0000000000000009E-2</v>
      </c>
      <c r="X57" s="35">
        <f t="shared" si="6"/>
        <v>0</v>
      </c>
      <c r="Y57" s="35">
        <v>0</v>
      </c>
      <c r="Z57" s="34">
        <v>0</v>
      </c>
      <c r="AA57" s="33">
        <f t="shared" si="7"/>
        <v>0</v>
      </c>
      <c r="AB57" s="150"/>
      <c r="AC57" s="79"/>
      <c r="AD57" s="79"/>
      <c r="AE57" s="1"/>
      <c r="AF57" s="1"/>
      <c r="AG57" s="1"/>
      <c r="AH57" s="1"/>
    </row>
    <row r="58" spans="1:34">
      <c r="A58" s="32">
        <v>46</v>
      </c>
      <c r="B58" s="45"/>
      <c r="C58" s="168">
        <v>204</v>
      </c>
      <c r="D58" s="167">
        <v>204</v>
      </c>
      <c r="E58" s="80">
        <v>0.5</v>
      </c>
      <c r="F58" s="80">
        <v>0.5</v>
      </c>
      <c r="G58" s="80">
        <v>0.5</v>
      </c>
      <c r="H58" s="80">
        <v>0.51</v>
      </c>
      <c r="I58" s="80">
        <v>0.51</v>
      </c>
      <c r="J58" s="80"/>
      <c r="K58" s="166">
        <v>26.22</v>
      </c>
      <c r="L58" s="165">
        <v>26.32</v>
      </c>
      <c r="M58" s="116" t="s">
        <v>20</v>
      </c>
      <c r="N58" s="25"/>
      <c r="O58" s="25"/>
      <c r="P58" s="23"/>
      <c r="Q58" s="40"/>
      <c r="R58" s="162">
        <v>36.6</v>
      </c>
      <c r="S58" s="36">
        <f t="shared" si="4"/>
        <v>13.550655638476687</v>
      </c>
      <c r="T58" s="35">
        <v>3</v>
      </c>
      <c r="U58" s="35"/>
      <c r="V58" s="161">
        <v>46</v>
      </c>
      <c r="W58" s="160">
        <f t="shared" si="5"/>
        <v>1.0000000000000009E-2</v>
      </c>
      <c r="X58" s="35">
        <f t="shared" si="6"/>
        <v>0</v>
      </c>
      <c r="Y58" s="35">
        <v>0</v>
      </c>
      <c r="Z58" s="34">
        <v>0</v>
      </c>
      <c r="AA58" s="33">
        <f t="shared" si="7"/>
        <v>0</v>
      </c>
      <c r="AB58" s="150"/>
      <c r="AC58" s="79"/>
      <c r="AD58" s="79"/>
      <c r="AE58" s="1"/>
      <c r="AF58" s="1"/>
      <c r="AG58" s="1"/>
      <c r="AH58" s="1"/>
    </row>
    <row r="59" spans="1:34">
      <c r="A59" s="32">
        <v>47</v>
      </c>
      <c r="B59" s="45"/>
      <c r="C59" s="168">
        <v>204</v>
      </c>
      <c r="D59" s="167">
        <v>204</v>
      </c>
      <c r="E59" s="80">
        <v>0.5</v>
      </c>
      <c r="F59" s="80">
        <v>0.49</v>
      </c>
      <c r="G59" s="80">
        <v>0.49</v>
      </c>
      <c r="H59" s="80">
        <v>0.49</v>
      </c>
      <c r="I59" s="80">
        <v>0.49</v>
      </c>
      <c r="J59" s="80"/>
      <c r="K59" s="166">
        <v>26.3</v>
      </c>
      <c r="L59" s="165">
        <v>26.37</v>
      </c>
      <c r="M59" s="116" t="s">
        <v>20</v>
      </c>
      <c r="N59" s="25"/>
      <c r="O59" s="25"/>
      <c r="P59" s="23"/>
      <c r="Q59" s="115"/>
      <c r="R59" s="162">
        <v>35.4</v>
      </c>
      <c r="S59" s="36">
        <f t="shared" si="4"/>
        <v>13.392901326460187</v>
      </c>
      <c r="T59" s="35">
        <v>3</v>
      </c>
      <c r="U59" s="35"/>
      <c r="V59" s="161">
        <v>47</v>
      </c>
      <c r="W59" s="160">
        <f t="shared" si="5"/>
        <v>1.0000000000000009E-2</v>
      </c>
      <c r="X59" s="35">
        <f t="shared" si="6"/>
        <v>0</v>
      </c>
      <c r="Y59" s="35">
        <v>0</v>
      </c>
      <c r="Z59" s="34">
        <v>0</v>
      </c>
      <c r="AA59" s="33">
        <f t="shared" si="7"/>
        <v>0</v>
      </c>
      <c r="AB59" s="150"/>
      <c r="AC59" s="79"/>
      <c r="AD59" s="79"/>
      <c r="AE59" s="1"/>
      <c r="AF59" s="1"/>
      <c r="AG59" s="1"/>
      <c r="AH59" s="1"/>
    </row>
    <row r="60" spans="1:34">
      <c r="A60" s="32">
        <v>48</v>
      </c>
      <c r="B60" s="45"/>
      <c r="C60" s="168">
        <v>204</v>
      </c>
      <c r="D60" s="167">
        <v>204</v>
      </c>
      <c r="E60" s="80">
        <v>0.5</v>
      </c>
      <c r="F60" s="80">
        <v>0.5</v>
      </c>
      <c r="G60" s="80">
        <v>0.5</v>
      </c>
      <c r="H60" s="80">
        <v>0.51</v>
      </c>
      <c r="I60" s="80">
        <v>0.51</v>
      </c>
      <c r="J60" s="80"/>
      <c r="K60" s="166">
        <v>26.45</v>
      </c>
      <c r="L60" s="165">
        <v>26.25</v>
      </c>
      <c r="M60" s="116"/>
      <c r="N60" s="25"/>
      <c r="O60" s="25"/>
      <c r="P60" s="23"/>
      <c r="Q60" s="115" t="s">
        <v>21</v>
      </c>
      <c r="R60" s="162">
        <v>36.6</v>
      </c>
      <c r="S60" s="36">
        <f t="shared" si="4"/>
        <v>13.509515127999336</v>
      </c>
      <c r="T60" s="35">
        <v>3</v>
      </c>
      <c r="U60" s="35"/>
      <c r="V60" s="161">
        <v>48</v>
      </c>
      <c r="W60" s="160">
        <f t="shared" si="5"/>
        <v>1.0000000000000009E-2</v>
      </c>
      <c r="X60" s="35">
        <f t="shared" si="6"/>
        <v>0</v>
      </c>
      <c r="Y60" s="35">
        <v>0</v>
      </c>
      <c r="Z60" s="34">
        <v>0</v>
      </c>
      <c r="AA60" s="33">
        <f t="shared" si="7"/>
        <v>0</v>
      </c>
      <c r="AB60" s="150"/>
      <c r="AC60" s="79"/>
      <c r="AD60" s="79"/>
      <c r="AE60" s="1"/>
      <c r="AF60" s="1"/>
      <c r="AG60" s="1"/>
      <c r="AH60" s="1"/>
    </row>
    <row r="61" spans="1:34">
      <c r="A61" s="32">
        <v>49</v>
      </c>
      <c r="B61" s="45"/>
      <c r="C61" s="168">
        <v>204</v>
      </c>
      <c r="D61" s="167">
        <v>204</v>
      </c>
      <c r="E61" s="80">
        <v>0.49</v>
      </c>
      <c r="F61" s="80">
        <v>0.5</v>
      </c>
      <c r="G61" s="80">
        <v>0.49</v>
      </c>
      <c r="H61" s="80">
        <v>0.49</v>
      </c>
      <c r="I61" s="80">
        <v>0.49</v>
      </c>
      <c r="J61" s="80"/>
      <c r="K61" s="166">
        <v>26.36</v>
      </c>
      <c r="L61" s="165">
        <v>26.27</v>
      </c>
      <c r="M61" s="116" t="s">
        <v>20</v>
      </c>
      <c r="N61" s="25"/>
      <c r="O61" s="25"/>
      <c r="P61" s="23"/>
      <c r="Q61" s="40"/>
      <c r="R61" s="162">
        <v>35.4</v>
      </c>
      <c r="S61" s="36">
        <f t="shared" si="4"/>
        <v>13.40308023683561</v>
      </c>
      <c r="T61" s="35">
        <v>3</v>
      </c>
      <c r="U61" s="35"/>
      <c r="V61" s="161">
        <v>49</v>
      </c>
      <c r="W61" s="160">
        <f t="shared" si="5"/>
        <v>1.0000000000000009E-2</v>
      </c>
      <c r="X61" s="35">
        <f t="shared" si="6"/>
        <v>0</v>
      </c>
      <c r="Y61" s="35">
        <v>0</v>
      </c>
      <c r="Z61" s="34">
        <v>0</v>
      </c>
      <c r="AA61" s="33">
        <f t="shared" si="7"/>
        <v>0</v>
      </c>
      <c r="AB61" s="150"/>
      <c r="AC61" s="79"/>
      <c r="AD61" s="79"/>
      <c r="AE61" s="1"/>
      <c r="AF61" s="1"/>
      <c r="AG61" s="1"/>
      <c r="AH61" s="1"/>
    </row>
    <row r="62" spans="1:34">
      <c r="A62" s="32">
        <v>50</v>
      </c>
      <c r="B62" s="45"/>
      <c r="C62" s="168">
        <v>204</v>
      </c>
      <c r="D62" s="167">
        <v>204</v>
      </c>
      <c r="E62" s="80">
        <v>0.49</v>
      </c>
      <c r="F62" s="80">
        <v>0.5</v>
      </c>
      <c r="G62" s="80">
        <v>0.5</v>
      </c>
      <c r="H62" s="80">
        <v>0.5</v>
      </c>
      <c r="I62" s="80">
        <v>0.5</v>
      </c>
      <c r="J62" s="80"/>
      <c r="K62" s="166">
        <v>26.36</v>
      </c>
      <c r="L62" s="165">
        <v>26.24</v>
      </c>
      <c r="M62" s="116"/>
      <c r="N62" s="25"/>
      <c r="O62" s="25"/>
      <c r="P62" s="23"/>
      <c r="Q62" s="115" t="s">
        <v>21</v>
      </c>
      <c r="R62" s="162">
        <v>36.1</v>
      </c>
      <c r="S62" s="36">
        <f t="shared" si="4"/>
        <v>13.511138417832967</v>
      </c>
      <c r="T62" s="35">
        <v>3</v>
      </c>
      <c r="U62" s="35"/>
      <c r="V62" s="161">
        <v>50</v>
      </c>
      <c r="W62" s="160">
        <f t="shared" si="5"/>
        <v>1.0000000000000009E-2</v>
      </c>
      <c r="X62" s="35">
        <f t="shared" si="6"/>
        <v>0</v>
      </c>
      <c r="Y62" s="35">
        <v>0</v>
      </c>
      <c r="Z62" s="34">
        <v>0</v>
      </c>
      <c r="AA62" s="33">
        <f t="shared" si="7"/>
        <v>0</v>
      </c>
      <c r="AB62" s="150"/>
      <c r="AC62" s="79"/>
      <c r="AD62" s="79"/>
      <c r="AE62" s="1"/>
      <c r="AF62" s="1"/>
      <c r="AG62" s="1"/>
      <c r="AH62" s="1"/>
    </row>
    <row r="63" spans="1:34">
      <c r="A63" s="32">
        <v>51</v>
      </c>
      <c r="B63" s="45"/>
      <c r="C63" s="168">
        <v>204</v>
      </c>
      <c r="D63" s="167">
        <v>204</v>
      </c>
      <c r="E63" s="80">
        <v>0.51</v>
      </c>
      <c r="F63" s="80">
        <v>0.51</v>
      </c>
      <c r="G63" s="80">
        <v>0.51</v>
      </c>
      <c r="H63" s="80">
        <v>0.51</v>
      </c>
      <c r="I63" s="80">
        <v>0.51</v>
      </c>
      <c r="J63" s="80"/>
      <c r="K63" s="166">
        <v>26.25</v>
      </c>
      <c r="L63" s="165">
        <v>26.37</v>
      </c>
      <c r="M63" s="116"/>
      <c r="N63" s="25"/>
      <c r="O63" s="25"/>
      <c r="P63" s="23"/>
      <c r="Q63" s="115" t="s">
        <v>21</v>
      </c>
      <c r="R63" s="162">
        <v>36.9</v>
      </c>
      <c r="S63" s="36">
        <f t="shared" si="4"/>
        <v>13.480474354877103</v>
      </c>
      <c r="T63" s="35">
        <v>3</v>
      </c>
      <c r="U63" s="35"/>
      <c r="V63" s="161">
        <v>51</v>
      </c>
      <c r="W63" s="160">
        <f t="shared" si="5"/>
        <v>0</v>
      </c>
      <c r="X63" s="35">
        <f t="shared" si="6"/>
        <v>0</v>
      </c>
      <c r="Y63" s="35">
        <v>0</v>
      </c>
      <c r="Z63" s="34">
        <v>0</v>
      </c>
      <c r="AA63" s="33">
        <f t="shared" si="7"/>
        <v>0</v>
      </c>
      <c r="AB63" s="150"/>
      <c r="AC63" s="79"/>
      <c r="AD63" s="79"/>
      <c r="AE63" s="1"/>
      <c r="AF63" s="1"/>
      <c r="AG63" s="1"/>
      <c r="AH63" s="1"/>
    </row>
    <row r="64" spans="1:34">
      <c r="A64" s="32">
        <v>52</v>
      </c>
      <c r="B64" s="45"/>
      <c r="C64" s="168">
        <v>204</v>
      </c>
      <c r="D64" s="167">
        <v>204</v>
      </c>
      <c r="E64" s="80">
        <v>0.5</v>
      </c>
      <c r="F64" s="80">
        <v>0.5</v>
      </c>
      <c r="G64" s="80">
        <v>0.5</v>
      </c>
      <c r="H64" s="80">
        <v>0.5</v>
      </c>
      <c r="I64" s="80">
        <v>0.5</v>
      </c>
      <c r="J64" s="80"/>
      <c r="K64" s="166">
        <v>26.08</v>
      </c>
      <c r="L64" s="165">
        <v>26.31</v>
      </c>
      <c r="M64" s="116"/>
      <c r="N64" s="25"/>
      <c r="O64" s="25" t="s">
        <v>20</v>
      </c>
      <c r="P64" s="23"/>
      <c r="Q64" s="115" t="s">
        <v>21</v>
      </c>
      <c r="R64" s="162">
        <v>36.299999999999997</v>
      </c>
      <c r="S64" s="36">
        <f t="shared" si="4"/>
        <v>13.585888640625175</v>
      </c>
      <c r="T64" s="35">
        <v>3</v>
      </c>
      <c r="U64" s="35"/>
      <c r="V64" s="161">
        <v>52</v>
      </c>
      <c r="W64" s="160">
        <f t="shared" si="5"/>
        <v>0</v>
      </c>
      <c r="X64" s="35">
        <f t="shared" si="6"/>
        <v>0</v>
      </c>
      <c r="Y64" s="35">
        <v>0</v>
      </c>
      <c r="Z64" s="34">
        <v>0</v>
      </c>
      <c r="AA64" s="33">
        <f t="shared" si="7"/>
        <v>0</v>
      </c>
      <c r="AB64" s="150"/>
      <c r="AC64" s="79"/>
      <c r="AD64" s="79"/>
      <c r="AE64" s="1"/>
      <c r="AF64" s="1"/>
      <c r="AG64" s="1"/>
      <c r="AH64" s="1"/>
    </row>
    <row r="65" spans="1:34">
      <c r="A65" s="32">
        <v>53</v>
      </c>
      <c r="B65" s="45"/>
      <c r="C65" s="168">
        <v>204</v>
      </c>
      <c r="D65" s="167">
        <v>204</v>
      </c>
      <c r="E65" s="80">
        <v>0.49</v>
      </c>
      <c r="F65" s="80">
        <v>0.49</v>
      </c>
      <c r="G65" s="80">
        <v>0.49</v>
      </c>
      <c r="H65" s="80">
        <v>0.49</v>
      </c>
      <c r="I65" s="80">
        <v>0.5</v>
      </c>
      <c r="J65" s="80"/>
      <c r="K65" s="166">
        <v>26.17</v>
      </c>
      <c r="L65" s="165">
        <v>26.08</v>
      </c>
      <c r="M65" s="116" t="s">
        <v>20</v>
      </c>
      <c r="N65" s="25" t="s">
        <v>22</v>
      </c>
      <c r="O65" s="25" t="s">
        <v>20</v>
      </c>
      <c r="P65" s="23"/>
      <c r="Q65" s="115"/>
      <c r="R65" s="162">
        <v>35.4</v>
      </c>
      <c r="S65" s="36">
        <f t="shared" si="4"/>
        <v>13.500557184012592</v>
      </c>
      <c r="T65" s="35">
        <v>3</v>
      </c>
      <c r="U65" s="35"/>
      <c r="V65" s="161">
        <v>53</v>
      </c>
      <c r="W65" s="160">
        <f t="shared" si="5"/>
        <v>1.0000000000000009E-2</v>
      </c>
      <c r="X65" s="35">
        <f t="shared" si="6"/>
        <v>0</v>
      </c>
      <c r="Y65" s="35">
        <v>0</v>
      </c>
      <c r="Z65" s="34">
        <v>0</v>
      </c>
      <c r="AA65" s="33">
        <f t="shared" si="7"/>
        <v>1</v>
      </c>
      <c r="AB65" s="150"/>
      <c r="AC65" s="79"/>
      <c r="AD65" s="79"/>
      <c r="AE65" s="1"/>
      <c r="AF65" s="1"/>
      <c r="AG65" s="1"/>
      <c r="AH65" s="1"/>
    </row>
    <row r="66" spans="1:34">
      <c r="A66" s="32">
        <v>54</v>
      </c>
      <c r="B66" s="45"/>
      <c r="C66" s="168">
        <v>204</v>
      </c>
      <c r="D66" s="167">
        <v>204</v>
      </c>
      <c r="E66" s="80">
        <v>0.51</v>
      </c>
      <c r="F66" s="80">
        <v>0.51</v>
      </c>
      <c r="G66" s="80">
        <v>0.51</v>
      </c>
      <c r="H66" s="80">
        <v>0.51</v>
      </c>
      <c r="I66" s="80">
        <v>0.51</v>
      </c>
      <c r="J66" s="80"/>
      <c r="K66" s="166">
        <v>26.41</v>
      </c>
      <c r="L66" s="165">
        <v>26.23</v>
      </c>
      <c r="M66" s="116"/>
      <c r="N66" s="25"/>
      <c r="O66" s="25"/>
      <c r="P66" s="23" t="s">
        <v>20</v>
      </c>
      <c r="Q66" s="40"/>
      <c r="R66" s="162">
        <v>37</v>
      </c>
      <c r="S66" s="36">
        <f t="shared" si="4"/>
        <v>13.511871164819702</v>
      </c>
      <c r="T66" s="35">
        <v>3</v>
      </c>
      <c r="U66" s="35"/>
      <c r="V66" s="161">
        <v>54</v>
      </c>
      <c r="W66" s="160">
        <f t="shared" si="5"/>
        <v>0</v>
      </c>
      <c r="X66" s="35">
        <f t="shared" si="6"/>
        <v>0</v>
      </c>
      <c r="Y66" s="35">
        <v>0</v>
      </c>
      <c r="Z66" s="34">
        <v>0</v>
      </c>
      <c r="AA66" s="33">
        <f t="shared" si="7"/>
        <v>0</v>
      </c>
      <c r="AB66" s="150"/>
      <c r="AC66" s="79"/>
      <c r="AD66" s="79"/>
      <c r="AE66" s="1"/>
      <c r="AF66" s="1"/>
      <c r="AG66" s="1"/>
      <c r="AH66" s="1"/>
    </row>
    <row r="67" spans="1:34">
      <c r="A67" s="32">
        <v>55</v>
      </c>
      <c r="B67" s="45"/>
      <c r="C67" s="168">
        <v>204</v>
      </c>
      <c r="D67" s="167">
        <v>204</v>
      </c>
      <c r="E67" s="80">
        <v>0.48</v>
      </c>
      <c r="F67" s="80">
        <v>0.48</v>
      </c>
      <c r="G67" s="80">
        <v>0.48</v>
      </c>
      <c r="H67" s="80">
        <v>0.48</v>
      </c>
      <c r="I67" s="80">
        <v>0.48</v>
      </c>
      <c r="J67" s="80"/>
      <c r="K67" s="166">
        <v>26.26</v>
      </c>
      <c r="L67" s="165">
        <v>26.4</v>
      </c>
      <c r="M67" s="116" t="s">
        <v>22</v>
      </c>
      <c r="N67" s="25" t="s">
        <v>20</v>
      </c>
      <c r="O67" s="25" t="s">
        <v>22</v>
      </c>
      <c r="P67" s="23" t="s">
        <v>20</v>
      </c>
      <c r="Q67" s="115" t="s">
        <v>21</v>
      </c>
      <c r="R67" s="162">
        <v>34.200000000000003</v>
      </c>
      <c r="S67" s="36">
        <f t="shared" si="4"/>
        <v>13.264895779808317</v>
      </c>
      <c r="T67" s="35">
        <v>3</v>
      </c>
      <c r="U67" s="35"/>
      <c r="V67" s="161">
        <v>55</v>
      </c>
      <c r="W67" s="160">
        <f t="shared" si="5"/>
        <v>0</v>
      </c>
      <c r="X67" s="35">
        <f t="shared" si="6"/>
        <v>0</v>
      </c>
      <c r="Y67" s="35">
        <v>0</v>
      </c>
      <c r="Z67" s="34">
        <v>0</v>
      </c>
      <c r="AA67" s="33">
        <f t="shared" si="7"/>
        <v>1</v>
      </c>
      <c r="AB67" s="150"/>
      <c r="AC67" s="79"/>
      <c r="AD67" s="79"/>
      <c r="AE67" s="1"/>
      <c r="AF67" s="1"/>
      <c r="AG67" s="1"/>
      <c r="AH67" s="1"/>
    </row>
    <row r="68" spans="1:34">
      <c r="A68" s="32">
        <v>56</v>
      </c>
      <c r="B68" s="45"/>
      <c r="C68" s="168">
        <v>204</v>
      </c>
      <c r="D68" s="167">
        <v>204</v>
      </c>
      <c r="E68" s="80">
        <v>0.51</v>
      </c>
      <c r="F68" s="80">
        <v>0.51</v>
      </c>
      <c r="G68" s="80">
        <v>0.51</v>
      </c>
      <c r="H68" s="80">
        <v>0.51</v>
      </c>
      <c r="I68" s="80">
        <v>0.51</v>
      </c>
      <c r="J68" s="80"/>
      <c r="K68" s="166">
        <v>26.22</v>
      </c>
      <c r="L68" s="165">
        <v>26.09</v>
      </c>
      <c r="M68" s="116" t="s">
        <v>20</v>
      </c>
      <c r="N68" s="25" t="s">
        <v>20</v>
      </c>
      <c r="O68" s="25"/>
      <c r="P68" s="23"/>
      <c r="Q68" s="40"/>
      <c r="R68" s="162">
        <v>36.700000000000003</v>
      </c>
      <c r="S68" s="36">
        <f t="shared" si="4"/>
        <v>13.48686456564101</v>
      </c>
      <c r="T68" s="35">
        <v>3</v>
      </c>
      <c r="U68" s="35"/>
      <c r="V68" s="161">
        <v>56</v>
      </c>
      <c r="W68" s="160">
        <f t="shared" si="5"/>
        <v>0</v>
      </c>
      <c r="X68" s="35">
        <f t="shared" si="6"/>
        <v>0</v>
      </c>
      <c r="Y68" s="35">
        <v>0</v>
      </c>
      <c r="Z68" s="34">
        <v>0</v>
      </c>
      <c r="AA68" s="33">
        <f t="shared" si="7"/>
        <v>0</v>
      </c>
      <c r="AB68" s="150"/>
      <c r="AC68" s="79"/>
      <c r="AD68" s="79"/>
      <c r="AE68" s="1"/>
      <c r="AF68" s="1"/>
      <c r="AG68" s="1"/>
      <c r="AH68" s="1"/>
    </row>
    <row r="69" spans="1:34">
      <c r="A69" s="32">
        <v>57</v>
      </c>
      <c r="B69" s="45"/>
      <c r="C69" s="168">
        <v>204</v>
      </c>
      <c r="D69" s="167">
        <v>204</v>
      </c>
      <c r="E69" s="80">
        <v>0.5</v>
      </c>
      <c r="F69" s="80">
        <v>0.5</v>
      </c>
      <c r="G69" s="80">
        <v>0.5</v>
      </c>
      <c r="H69" s="80">
        <v>0.5</v>
      </c>
      <c r="I69" s="80">
        <v>0.5</v>
      </c>
      <c r="J69" s="80"/>
      <c r="K69" s="166">
        <v>26.22</v>
      </c>
      <c r="L69" s="165">
        <v>26.36</v>
      </c>
      <c r="M69" s="116"/>
      <c r="N69" s="25" t="s">
        <v>22</v>
      </c>
      <c r="O69" s="25"/>
      <c r="P69" s="23"/>
      <c r="Q69" s="40"/>
      <c r="R69" s="162">
        <v>35.6</v>
      </c>
      <c r="S69" s="36">
        <f t="shared" si="4"/>
        <v>13.275755338270722</v>
      </c>
      <c r="T69" s="35">
        <v>3</v>
      </c>
      <c r="U69" s="35"/>
      <c r="V69" s="161">
        <v>57</v>
      </c>
      <c r="W69" s="160">
        <f t="shared" si="5"/>
        <v>0</v>
      </c>
      <c r="X69" s="35">
        <f t="shared" si="6"/>
        <v>0</v>
      </c>
      <c r="Y69" s="35">
        <v>0</v>
      </c>
      <c r="Z69" s="34">
        <v>0</v>
      </c>
      <c r="AA69" s="33">
        <f t="shared" si="7"/>
        <v>1</v>
      </c>
      <c r="AB69" s="150"/>
      <c r="AC69" s="79"/>
      <c r="AD69" s="79"/>
      <c r="AE69" s="1"/>
      <c r="AF69" s="1"/>
      <c r="AG69" s="1"/>
      <c r="AH69" s="1"/>
    </row>
    <row r="70" spans="1:34">
      <c r="A70" s="32">
        <v>58</v>
      </c>
      <c r="B70" s="45"/>
      <c r="C70" s="168">
        <v>204</v>
      </c>
      <c r="D70" s="167">
        <v>204</v>
      </c>
      <c r="E70" s="80">
        <v>0.51</v>
      </c>
      <c r="F70" s="80">
        <v>0.51</v>
      </c>
      <c r="G70" s="80">
        <v>0.51</v>
      </c>
      <c r="H70" s="80">
        <v>0.51</v>
      </c>
      <c r="I70" s="80">
        <v>0.51</v>
      </c>
      <c r="J70" s="80"/>
      <c r="K70" s="166">
        <v>26.45</v>
      </c>
      <c r="L70" s="165">
        <v>26.22</v>
      </c>
      <c r="M70" s="116" t="s">
        <v>20</v>
      </c>
      <c r="N70" s="25"/>
      <c r="O70" s="25" t="s">
        <v>20</v>
      </c>
      <c r="P70" s="23"/>
      <c r="Q70" s="40"/>
      <c r="R70" s="162">
        <v>37.1</v>
      </c>
      <c r="S70" s="36">
        <f t="shared" si="4"/>
        <v>13.540672786758781</v>
      </c>
      <c r="T70" s="35">
        <v>3</v>
      </c>
      <c r="U70" s="35"/>
      <c r="V70" s="161">
        <v>58</v>
      </c>
      <c r="W70" s="160">
        <f t="shared" si="5"/>
        <v>0</v>
      </c>
      <c r="X70" s="35">
        <f t="shared" si="6"/>
        <v>0</v>
      </c>
      <c r="Y70" s="35">
        <v>0</v>
      </c>
      <c r="Z70" s="34">
        <v>0</v>
      </c>
      <c r="AA70" s="33">
        <f t="shared" si="7"/>
        <v>0</v>
      </c>
      <c r="AB70" s="150"/>
      <c r="AC70" s="79"/>
      <c r="AD70" s="79"/>
      <c r="AE70" s="1"/>
      <c r="AF70" s="1"/>
      <c r="AG70" s="1"/>
      <c r="AH70" s="1"/>
    </row>
    <row r="71" spans="1:34">
      <c r="A71" s="32">
        <v>59</v>
      </c>
      <c r="B71" s="45"/>
      <c r="C71" s="168">
        <v>204</v>
      </c>
      <c r="D71" s="167">
        <v>204</v>
      </c>
      <c r="E71" s="80">
        <v>0.52</v>
      </c>
      <c r="F71" s="80">
        <v>0.52</v>
      </c>
      <c r="G71" s="80">
        <v>0.52</v>
      </c>
      <c r="H71" s="80">
        <v>0.52</v>
      </c>
      <c r="I71" s="80">
        <v>0.52</v>
      </c>
      <c r="J71" s="80"/>
      <c r="K71" s="166">
        <v>26.39</v>
      </c>
      <c r="L71" s="165">
        <v>26.17</v>
      </c>
      <c r="M71" s="116"/>
      <c r="N71" s="25"/>
      <c r="O71" s="25"/>
      <c r="P71" s="23"/>
      <c r="Q71" s="40"/>
      <c r="R71" s="162">
        <v>37.6</v>
      </c>
      <c r="S71" s="36">
        <f t="shared" si="4"/>
        <v>13.487422834723398</v>
      </c>
      <c r="T71" s="35">
        <v>3</v>
      </c>
      <c r="U71" s="35"/>
      <c r="V71" s="161">
        <v>59</v>
      </c>
      <c r="W71" s="160">
        <f t="shared" si="5"/>
        <v>0</v>
      </c>
      <c r="X71" s="35">
        <f t="shared" si="6"/>
        <v>0</v>
      </c>
      <c r="Y71" s="35">
        <v>0</v>
      </c>
      <c r="Z71" s="34">
        <v>0</v>
      </c>
      <c r="AA71" s="33">
        <f t="shared" si="7"/>
        <v>0</v>
      </c>
      <c r="AB71" s="150"/>
      <c r="AC71" s="79"/>
      <c r="AD71" s="79"/>
      <c r="AE71" s="1"/>
      <c r="AF71" s="1"/>
      <c r="AG71" s="1"/>
      <c r="AH71" s="1"/>
    </row>
    <row r="72" spans="1:34">
      <c r="A72" s="32">
        <v>60</v>
      </c>
      <c r="B72" s="45"/>
      <c r="C72" s="168">
        <v>204</v>
      </c>
      <c r="D72" s="167">
        <v>204</v>
      </c>
      <c r="E72" s="80">
        <v>0.5</v>
      </c>
      <c r="F72" s="80">
        <v>0.5</v>
      </c>
      <c r="G72" s="80">
        <v>0.5</v>
      </c>
      <c r="H72" s="80">
        <v>0.5</v>
      </c>
      <c r="I72" s="80">
        <v>0.5</v>
      </c>
      <c r="J72" s="80"/>
      <c r="K72" s="166">
        <v>26.45</v>
      </c>
      <c r="L72" s="165">
        <v>26.25</v>
      </c>
      <c r="M72" s="116"/>
      <c r="N72" s="25"/>
      <c r="O72" s="25"/>
      <c r="P72" s="23"/>
      <c r="Q72" s="115" t="s">
        <v>19</v>
      </c>
      <c r="R72" s="162">
        <v>36.4</v>
      </c>
      <c r="S72" s="36">
        <f t="shared" si="4"/>
        <v>13.543178182088772</v>
      </c>
      <c r="T72" s="35">
        <v>3</v>
      </c>
      <c r="U72" s="35"/>
      <c r="V72" s="161">
        <v>60</v>
      </c>
      <c r="W72" s="160">
        <f t="shared" si="5"/>
        <v>0</v>
      </c>
      <c r="X72" s="35">
        <f t="shared" si="6"/>
        <v>0</v>
      </c>
      <c r="Y72" s="35">
        <v>0</v>
      </c>
      <c r="Z72" s="34">
        <v>0</v>
      </c>
      <c r="AA72" s="33">
        <f t="shared" si="7"/>
        <v>0</v>
      </c>
      <c r="AB72" s="150"/>
      <c r="AC72" s="79"/>
      <c r="AD72" s="79"/>
      <c r="AE72" s="1"/>
      <c r="AF72" s="1"/>
      <c r="AG72" s="1"/>
      <c r="AH72" s="1"/>
    </row>
    <row r="73" spans="1:34">
      <c r="A73" s="32">
        <v>61</v>
      </c>
      <c r="B73" s="45"/>
      <c r="C73" s="168">
        <v>204</v>
      </c>
      <c r="D73" s="167">
        <v>204</v>
      </c>
      <c r="E73" s="80">
        <v>0.51</v>
      </c>
      <c r="F73" s="80">
        <v>0.5</v>
      </c>
      <c r="G73" s="80">
        <v>0.5</v>
      </c>
      <c r="H73" s="80">
        <v>0.5</v>
      </c>
      <c r="I73" s="80">
        <v>0.5</v>
      </c>
      <c r="J73" s="80"/>
      <c r="K73" s="166">
        <v>26.25</v>
      </c>
      <c r="L73" s="165">
        <v>26.15</v>
      </c>
      <c r="M73" s="116" t="s">
        <v>20</v>
      </c>
      <c r="N73" s="25" t="s">
        <v>20</v>
      </c>
      <c r="O73" s="25"/>
      <c r="P73" s="23"/>
      <c r="Q73" s="115" t="s">
        <v>21</v>
      </c>
      <c r="R73" s="162">
        <v>36.4</v>
      </c>
      <c r="S73" s="36">
        <f t="shared" si="4"/>
        <v>13.566449663104803</v>
      </c>
      <c r="T73" s="35">
        <v>3</v>
      </c>
      <c r="U73" s="35"/>
      <c r="V73" s="161">
        <v>61</v>
      </c>
      <c r="W73" s="160">
        <f t="shared" si="5"/>
        <v>1.0000000000000009E-2</v>
      </c>
      <c r="X73" s="35">
        <f t="shared" si="6"/>
        <v>0</v>
      </c>
      <c r="Y73" s="35">
        <v>0</v>
      </c>
      <c r="Z73" s="34">
        <v>0</v>
      </c>
      <c r="AA73" s="33">
        <f t="shared" si="7"/>
        <v>0</v>
      </c>
      <c r="AB73" s="150"/>
      <c r="AC73" s="79"/>
      <c r="AD73" s="79"/>
      <c r="AE73" s="1"/>
      <c r="AF73" s="1"/>
      <c r="AG73" s="1"/>
      <c r="AH73" s="1"/>
    </row>
    <row r="74" spans="1:34">
      <c r="A74" s="32">
        <v>62</v>
      </c>
      <c r="B74" s="45"/>
      <c r="C74" s="168">
        <v>204</v>
      </c>
      <c r="D74" s="167">
        <v>204</v>
      </c>
      <c r="E74" s="80">
        <v>0.5</v>
      </c>
      <c r="F74" s="80">
        <v>0.5</v>
      </c>
      <c r="G74" s="80">
        <v>0.49</v>
      </c>
      <c r="H74" s="80">
        <v>0.49</v>
      </c>
      <c r="I74" s="80">
        <v>0.49</v>
      </c>
      <c r="J74" s="80"/>
      <c r="K74" s="166">
        <v>26.31</v>
      </c>
      <c r="L74" s="165">
        <v>26.28</v>
      </c>
      <c r="M74" s="116"/>
      <c r="N74" s="25"/>
      <c r="O74" s="25" t="s">
        <v>20</v>
      </c>
      <c r="P74" s="23" t="s">
        <v>20</v>
      </c>
      <c r="Q74" s="115" t="s">
        <v>19</v>
      </c>
      <c r="R74" s="162">
        <v>35.200000000000003</v>
      </c>
      <c r="S74" s="36">
        <f t="shared" si="4"/>
        <v>13.283495469716705</v>
      </c>
      <c r="T74" s="35">
        <v>3</v>
      </c>
      <c r="U74" s="35"/>
      <c r="V74" s="161">
        <v>62</v>
      </c>
      <c r="W74" s="160">
        <f t="shared" si="5"/>
        <v>1.0000000000000009E-2</v>
      </c>
      <c r="X74" s="35">
        <f t="shared" si="6"/>
        <v>0</v>
      </c>
      <c r="Y74" s="35">
        <v>0</v>
      </c>
      <c r="Z74" s="34">
        <v>0</v>
      </c>
      <c r="AA74" s="33">
        <f t="shared" si="7"/>
        <v>0</v>
      </c>
      <c r="AB74" s="150"/>
      <c r="AC74" s="79"/>
      <c r="AD74" s="79"/>
      <c r="AE74" s="1"/>
      <c r="AF74" s="1"/>
      <c r="AG74" s="1"/>
      <c r="AH74" s="1"/>
    </row>
    <row r="75" spans="1:34">
      <c r="A75" s="32">
        <v>63</v>
      </c>
      <c r="B75" s="45"/>
      <c r="C75" s="168">
        <v>204</v>
      </c>
      <c r="D75" s="167">
        <v>204</v>
      </c>
      <c r="E75" s="80">
        <v>0.5</v>
      </c>
      <c r="F75" s="80">
        <v>0.5</v>
      </c>
      <c r="G75" s="80">
        <v>0.5</v>
      </c>
      <c r="H75" s="80">
        <v>0.5</v>
      </c>
      <c r="I75" s="80">
        <v>0.5</v>
      </c>
      <c r="J75" s="80"/>
      <c r="K75" s="166">
        <v>26.39</v>
      </c>
      <c r="L75" s="165">
        <v>26.27</v>
      </c>
      <c r="M75" s="116" t="s">
        <v>20</v>
      </c>
      <c r="N75" s="25"/>
      <c r="O75" s="25" t="s">
        <v>20</v>
      </c>
      <c r="P75" s="23"/>
      <c r="Q75" s="40"/>
      <c r="R75" s="162">
        <v>35.700000000000003</v>
      </c>
      <c r="S75" s="36">
        <f t="shared" si="4"/>
        <v>13.29282187618686</v>
      </c>
      <c r="T75" s="35">
        <v>3</v>
      </c>
      <c r="U75" s="35"/>
      <c r="V75" s="161">
        <v>63</v>
      </c>
      <c r="W75" s="160">
        <f t="shared" si="5"/>
        <v>0</v>
      </c>
      <c r="X75" s="35">
        <f t="shared" si="6"/>
        <v>0</v>
      </c>
      <c r="Y75" s="35">
        <v>0</v>
      </c>
      <c r="Z75" s="34">
        <v>0</v>
      </c>
      <c r="AA75" s="33">
        <f t="shared" si="7"/>
        <v>0</v>
      </c>
      <c r="AB75" s="150"/>
      <c r="AC75" s="79"/>
      <c r="AD75" s="79"/>
      <c r="AE75" s="1"/>
      <c r="AF75" s="1"/>
      <c r="AG75" s="1"/>
      <c r="AH75" s="1"/>
    </row>
    <row r="76" spans="1:34">
      <c r="A76" s="32">
        <v>64</v>
      </c>
      <c r="B76" s="45"/>
      <c r="C76" s="168">
        <v>204</v>
      </c>
      <c r="D76" s="167">
        <v>204</v>
      </c>
      <c r="E76" s="80">
        <v>0.51</v>
      </c>
      <c r="F76" s="80">
        <v>0.51</v>
      </c>
      <c r="G76" s="80">
        <v>0.52</v>
      </c>
      <c r="H76" s="80">
        <v>0.52</v>
      </c>
      <c r="I76" s="80">
        <v>0.52</v>
      </c>
      <c r="J76" s="80"/>
      <c r="K76" s="166">
        <v>26.37</v>
      </c>
      <c r="L76" s="165">
        <v>26.21</v>
      </c>
      <c r="M76" s="116"/>
      <c r="N76" s="25" t="s">
        <v>20</v>
      </c>
      <c r="O76" s="25"/>
      <c r="P76" s="23"/>
      <c r="Q76" s="115"/>
      <c r="R76" s="162">
        <v>37.200000000000003</v>
      </c>
      <c r="S76" s="36">
        <f t="shared" ref="S76:S107" si="8">R76/(AVERAGE(C76:D76)*AVERAGE(E76:J76)*AVERAGE(K76:L76)*0.001)</f>
        <v>13.44226598792763</v>
      </c>
      <c r="T76" s="35">
        <v>3</v>
      </c>
      <c r="U76" s="35"/>
      <c r="V76" s="161">
        <v>64</v>
      </c>
      <c r="W76" s="160">
        <f t="shared" ref="W76:W107" si="9">MAX(E76:I76)-MIN(E76:I76)</f>
        <v>1.0000000000000009E-2</v>
      </c>
      <c r="X76" s="35">
        <f t="shared" ref="X76:X107" si="10">IF(OR(ABS(E76-$C$6)&gt;($C$6*0.1),ABS(F76-$C$6)&gt;($C$6*0.1),ABS(G76-$C$6)&gt;($C$6*0.1),ABS(H76-$C$6)&gt;($C$6*0.1),ABS(I76-$C$6)&gt;($C$6*0.1)),1,0)</f>
        <v>0</v>
      </c>
      <c r="Y76" s="35">
        <v>0</v>
      </c>
      <c r="Z76" s="34">
        <v>0</v>
      </c>
      <c r="AA76" s="33">
        <f t="shared" ref="AA76:AA107" si="11">IF(OR(M76="Y",N76="Y",O76="Y",P76="Y"),1,0)</f>
        <v>0</v>
      </c>
      <c r="AB76" s="150"/>
      <c r="AC76" s="79"/>
      <c r="AD76" s="79"/>
      <c r="AE76" s="1"/>
      <c r="AF76" s="1"/>
      <c r="AG76" s="1"/>
      <c r="AH76" s="1"/>
    </row>
    <row r="77" spans="1:34">
      <c r="A77" s="32">
        <v>65</v>
      </c>
      <c r="B77" s="45"/>
      <c r="C77" s="168">
        <v>204</v>
      </c>
      <c r="D77" s="167">
        <v>204</v>
      </c>
      <c r="E77" s="80">
        <v>0.5</v>
      </c>
      <c r="F77" s="80">
        <v>0.5</v>
      </c>
      <c r="G77" s="80">
        <v>0.49</v>
      </c>
      <c r="H77" s="80">
        <v>0.49</v>
      </c>
      <c r="I77" s="80">
        <v>0.49</v>
      </c>
      <c r="J77" s="80"/>
      <c r="K77" s="166">
        <v>26.35</v>
      </c>
      <c r="L77" s="165">
        <v>26.27</v>
      </c>
      <c r="M77" s="116" t="s">
        <v>20</v>
      </c>
      <c r="N77" s="25"/>
      <c r="O77" s="25" t="s">
        <v>20</v>
      </c>
      <c r="P77" s="23"/>
      <c r="Q77" s="115" t="s">
        <v>21</v>
      </c>
      <c r="R77" s="162">
        <v>35.5</v>
      </c>
      <c r="S77" s="36">
        <f t="shared" si="8"/>
        <v>13.389069275481933</v>
      </c>
      <c r="T77" s="35">
        <v>3</v>
      </c>
      <c r="U77" s="35"/>
      <c r="V77" s="161">
        <v>65</v>
      </c>
      <c r="W77" s="160">
        <f t="shared" si="9"/>
        <v>1.0000000000000009E-2</v>
      </c>
      <c r="X77" s="35">
        <f t="shared" si="10"/>
        <v>0</v>
      </c>
      <c r="Y77" s="35">
        <v>0</v>
      </c>
      <c r="Z77" s="34">
        <v>0</v>
      </c>
      <c r="AA77" s="33">
        <f t="shared" si="11"/>
        <v>0</v>
      </c>
      <c r="AB77" s="150"/>
      <c r="AC77" s="79"/>
      <c r="AD77" s="79"/>
      <c r="AE77" s="1"/>
      <c r="AF77" s="1"/>
      <c r="AG77" s="1"/>
      <c r="AH77" s="1"/>
    </row>
    <row r="78" spans="1:34">
      <c r="A78" s="32">
        <v>66</v>
      </c>
      <c r="B78" s="45"/>
      <c r="C78" s="168">
        <v>204</v>
      </c>
      <c r="D78" s="167">
        <v>204</v>
      </c>
      <c r="E78" s="80">
        <v>0.48</v>
      </c>
      <c r="F78" s="80">
        <v>0.48</v>
      </c>
      <c r="G78" s="80">
        <v>0.49</v>
      </c>
      <c r="H78" s="80">
        <v>0.49</v>
      </c>
      <c r="I78" s="80">
        <v>0.49</v>
      </c>
      <c r="J78" s="80"/>
      <c r="K78" s="166">
        <v>26.22</v>
      </c>
      <c r="L78" s="165">
        <v>26.39</v>
      </c>
      <c r="M78" s="116" t="s">
        <v>20</v>
      </c>
      <c r="N78" s="25" t="s">
        <v>22</v>
      </c>
      <c r="O78" s="25" t="s">
        <v>20</v>
      </c>
      <c r="P78" s="23"/>
      <c r="Q78" s="115" t="s">
        <v>21</v>
      </c>
      <c r="R78" s="162">
        <v>34.799999999999997</v>
      </c>
      <c r="S78" s="36">
        <f t="shared" si="8"/>
        <v>13.343645670808304</v>
      </c>
      <c r="T78" s="35">
        <v>3</v>
      </c>
      <c r="U78" s="35"/>
      <c r="V78" s="161">
        <v>66</v>
      </c>
      <c r="W78" s="160">
        <f t="shared" si="9"/>
        <v>1.0000000000000009E-2</v>
      </c>
      <c r="X78" s="35">
        <f t="shared" si="10"/>
        <v>0</v>
      </c>
      <c r="Y78" s="35">
        <v>0</v>
      </c>
      <c r="Z78" s="34">
        <v>0</v>
      </c>
      <c r="AA78" s="33">
        <f t="shared" si="11"/>
        <v>1</v>
      </c>
      <c r="AB78" s="150"/>
      <c r="AC78" s="79"/>
      <c r="AD78" s="79"/>
      <c r="AE78" s="1"/>
      <c r="AF78" s="1"/>
      <c r="AG78" s="1"/>
      <c r="AH78" s="1"/>
    </row>
    <row r="79" spans="1:34">
      <c r="A79" s="32">
        <v>67</v>
      </c>
      <c r="B79" s="45"/>
      <c r="C79" s="168">
        <v>204</v>
      </c>
      <c r="D79" s="167">
        <v>204</v>
      </c>
      <c r="E79" s="80">
        <v>0.51</v>
      </c>
      <c r="F79" s="80">
        <v>0.5</v>
      </c>
      <c r="G79" s="80">
        <v>0.5</v>
      </c>
      <c r="H79" s="80">
        <v>0.5</v>
      </c>
      <c r="I79" s="80">
        <v>0.5</v>
      </c>
      <c r="J79" s="80"/>
      <c r="K79" s="166">
        <v>26.28</v>
      </c>
      <c r="L79" s="165">
        <v>26.26</v>
      </c>
      <c r="M79" s="116"/>
      <c r="N79" s="25"/>
      <c r="O79" s="25" t="s">
        <v>20</v>
      </c>
      <c r="P79" s="23" t="s">
        <v>20</v>
      </c>
      <c r="Q79" s="115" t="s">
        <v>21</v>
      </c>
      <c r="R79" s="162">
        <v>36</v>
      </c>
      <c r="S79" s="36">
        <f t="shared" si="8"/>
        <v>13.381615391141494</v>
      </c>
      <c r="T79" s="35">
        <v>3</v>
      </c>
      <c r="U79" s="35"/>
      <c r="V79" s="161">
        <v>67</v>
      </c>
      <c r="W79" s="160">
        <f t="shared" si="9"/>
        <v>1.0000000000000009E-2</v>
      </c>
      <c r="X79" s="35">
        <f t="shared" si="10"/>
        <v>0</v>
      </c>
      <c r="Y79" s="35">
        <v>0</v>
      </c>
      <c r="Z79" s="34">
        <v>0</v>
      </c>
      <c r="AA79" s="33">
        <f t="shared" si="11"/>
        <v>0</v>
      </c>
      <c r="AB79" s="150"/>
      <c r="AC79" s="79"/>
      <c r="AD79" s="79"/>
      <c r="AE79" s="1"/>
      <c r="AF79" s="1"/>
      <c r="AG79" s="1"/>
      <c r="AH79" s="1"/>
    </row>
    <row r="80" spans="1:34">
      <c r="A80" s="32">
        <v>68</v>
      </c>
      <c r="B80" s="45"/>
      <c r="C80" s="168">
        <v>204</v>
      </c>
      <c r="D80" s="167">
        <v>204</v>
      </c>
      <c r="E80" s="80">
        <v>0.5</v>
      </c>
      <c r="F80" s="80">
        <v>0.5</v>
      </c>
      <c r="G80" s="80">
        <v>0.5</v>
      </c>
      <c r="H80" s="80">
        <v>0.5</v>
      </c>
      <c r="I80" s="80">
        <v>0.5</v>
      </c>
      <c r="J80" s="80"/>
      <c r="K80" s="166">
        <v>26.12</v>
      </c>
      <c r="L80" s="165">
        <v>26.11</v>
      </c>
      <c r="M80" s="116"/>
      <c r="N80" s="25"/>
      <c r="O80" s="25"/>
      <c r="P80" s="23"/>
      <c r="Q80" s="115"/>
      <c r="R80" s="162">
        <v>36.200000000000003</v>
      </c>
      <c r="S80" s="36">
        <f t="shared" si="8"/>
        <v>13.589965950002441</v>
      </c>
      <c r="T80" s="35">
        <v>3</v>
      </c>
      <c r="U80" s="35"/>
      <c r="V80" s="161">
        <v>68</v>
      </c>
      <c r="W80" s="160">
        <f t="shared" si="9"/>
        <v>0</v>
      </c>
      <c r="X80" s="35">
        <f t="shared" si="10"/>
        <v>0</v>
      </c>
      <c r="Y80" s="35">
        <v>0</v>
      </c>
      <c r="Z80" s="34">
        <v>0</v>
      </c>
      <c r="AA80" s="33">
        <f t="shared" si="11"/>
        <v>0</v>
      </c>
      <c r="AB80" s="150"/>
      <c r="AC80" s="79"/>
      <c r="AD80" s="79"/>
      <c r="AE80" s="1"/>
      <c r="AF80" s="1"/>
      <c r="AG80" s="1"/>
      <c r="AH80" s="1"/>
    </row>
    <row r="81" spans="1:34">
      <c r="A81" s="32">
        <v>69</v>
      </c>
      <c r="B81" s="45"/>
      <c r="C81" s="168">
        <v>204</v>
      </c>
      <c r="D81" s="167">
        <v>204</v>
      </c>
      <c r="E81" s="80">
        <v>0.5</v>
      </c>
      <c r="F81" s="80">
        <v>0.5</v>
      </c>
      <c r="G81" s="80">
        <v>0.5</v>
      </c>
      <c r="H81" s="80">
        <v>0.51</v>
      </c>
      <c r="I81" s="80">
        <v>0.5</v>
      </c>
      <c r="J81" s="80"/>
      <c r="K81" s="166">
        <v>26.1</v>
      </c>
      <c r="L81" s="165">
        <v>26.18</v>
      </c>
      <c r="M81" s="116"/>
      <c r="N81" s="25"/>
      <c r="O81" s="25"/>
      <c r="P81" s="23"/>
      <c r="Q81" s="115" t="s">
        <v>50</v>
      </c>
      <c r="R81" s="162">
        <v>36.1</v>
      </c>
      <c r="S81" s="36">
        <f t="shared" si="8"/>
        <v>13.485521137616745</v>
      </c>
      <c r="T81" s="35">
        <v>3</v>
      </c>
      <c r="U81" s="35"/>
      <c r="V81" s="161">
        <v>69</v>
      </c>
      <c r="W81" s="160">
        <f t="shared" si="9"/>
        <v>1.0000000000000009E-2</v>
      </c>
      <c r="X81" s="35">
        <f t="shared" si="10"/>
        <v>0</v>
      </c>
      <c r="Y81" s="35">
        <v>0</v>
      </c>
      <c r="Z81" s="34">
        <v>0</v>
      </c>
      <c r="AA81" s="33">
        <f t="shared" si="11"/>
        <v>0</v>
      </c>
      <c r="AB81" s="150"/>
      <c r="AC81" s="79"/>
      <c r="AD81" s="79"/>
      <c r="AE81" s="1"/>
      <c r="AF81" s="1"/>
      <c r="AG81" s="1"/>
      <c r="AH81" s="1"/>
    </row>
    <row r="82" spans="1:34">
      <c r="A82" s="32">
        <v>70</v>
      </c>
      <c r="B82" s="45"/>
      <c r="C82" s="168">
        <v>204</v>
      </c>
      <c r="D82" s="167">
        <v>204</v>
      </c>
      <c r="E82" s="80">
        <v>0.51</v>
      </c>
      <c r="F82" s="80">
        <v>0.51</v>
      </c>
      <c r="G82" s="80">
        <v>0.51</v>
      </c>
      <c r="H82" s="80">
        <v>0.51</v>
      </c>
      <c r="I82" s="80">
        <v>0.51</v>
      </c>
      <c r="J82" s="80"/>
      <c r="K82" s="166">
        <v>26.06</v>
      </c>
      <c r="L82" s="165">
        <v>26.21</v>
      </c>
      <c r="M82" s="116"/>
      <c r="N82" s="25" t="s">
        <v>20</v>
      </c>
      <c r="O82" s="25"/>
      <c r="P82" s="23"/>
      <c r="Q82" s="115" t="s">
        <v>19</v>
      </c>
      <c r="R82" s="162">
        <v>36.299999999999997</v>
      </c>
      <c r="S82" s="36">
        <f t="shared" si="8"/>
        <v>13.350077198752198</v>
      </c>
      <c r="T82" s="35">
        <v>3</v>
      </c>
      <c r="U82" s="35"/>
      <c r="V82" s="161">
        <v>70</v>
      </c>
      <c r="W82" s="160">
        <f t="shared" si="9"/>
        <v>0</v>
      </c>
      <c r="X82" s="35">
        <f t="shared" si="10"/>
        <v>0</v>
      </c>
      <c r="Y82" s="35">
        <v>0</v>
      </c>
      <c r="Z82" s="34">
        <v>0</v>
      </c>
      <c r="AA82" s="33">
        <f t="shared" si="11"/>
        <v>0</v>
      </c>
      <c r="AB82" s="150"/>
      <c r="AC82" s="79"/>
      <c r="AD82" s="79"/>
      <c r="AE82" s="1"/>
      <c r="AF82" s="1"/>
      <c r="AG82" s="1"/>
      <c r="AH82" s="1"/>
    </row>
    <row r="83" spans="1:34">
      <c r="A83" s="32">
        <v>71</v>
      </c>
      <c r="B83" s="45"/>
      <c r="C83" s="168">
        <v>204</v>
      </c>
      <c r="D83" s="167">
        <v>204</v>
      </c>
      <c r="E83" s="80">
        <v>0.5</v>
      </c>
      <c r="F83" s="80">
        <v>0.5</v>
      </c>
      <c r="G83" s="80">
        <v>0.5</v>
      </c>
      <c r="H83" s="80">
        <v>0.5</v>
      </c>
      <c r="I83" s="80">
        <v>0.5</v>
      </c>
      <c r="J83" s="80"/>
      <c r="K83" s="166">
        <v>26.44</v>
      </c>
      <c r="L83" s="165">
        <v>26.22</v>
      </c>
      <c r="M83" s="116" t="s">
        <v>20</v>
      </c>
      <c r="N83" s="25"/>
      <c r="O83" s="25"/>
      <c r="P83" s="23" t="s">
        <v>20</v>
      </c>
      <c r="Q83" s="115" t="s">
        <v>21</v>
      </c>
      <c r="R83" s="162">
        <v>36</v>
      </c>
      <c r="S83" s="36">
        <f t="shared" si="8"/>
        <v>13.404526261701035</v>
      </c>
      <c r="T83" s="35">
        <v>3</v>
      </c>
      <c r="U83" s="35"/>
      <c r="V83" s="161">
        <v>71</v>
      </c>
      <c r="W83" s="160">
        <f t="shared" si="9"/>
        <v>0</v>
      </c>
      <c r="X83" s="35">
        <f t="shared" si="10"/>
        <v>0</v>
      </c>
      <c r="Y83" s="35">
        <v>0</v>
      </c>
      <c r="Z83" s="34">
        <v>0</v>
      </c>
      <c r="AA83" s="33">
        <f t="shared" si="11"/>
        <v>0</v>
      </c>
      <c r="AB83" s="150"/>
      <c r="AC83" s="79"/>
      <c r="AD83" s="79"/>
      <c r="AE83" s="1"/>
      <c r="AF83" s="1"/>
      <c r="AG83" s="1"/>
      <c r="AH83" s="1"/>
    </row>
    <row r="84" spans="1:34">
      <c r="A84" s="32">
        <v>72</v>
      </c>
      <c r="B84" s="45"/>
      <c r="C84" s="168">
        <v>204</v>
      </c>
      <c r="D84" s="167">
        <v>204</v>
      </c>
      <c r="E84" s="80">
        <v>0.5</v>
      </c>
      <c r="F84" s="80">
        <v>0.51</v>
      </c>
      <c r="G84" s="80">
        <v>0.51</v>
      </c>
      <c r="H84" s="80">
        <v>0.51</v>
      </c>
      <c r="I84" s="80">
        <v>0.51</v>
      </c>
      <c r="J84" s="80"/>
      <c r="K84" s="166">
        <v>26.35</v>
      </c>
      <c r="L84" s="165">
        <v>26.22</v>
      </c>
      <c r="M84" s="116" t="s">
        <v>20</v>
      </c>
      <c r="N84" s="25"/>
      <c r="O84" s="25" t="s">
        <v>20</v>
      </c>
      <c r="P84" s="23"/>
      <c r="Q84" s="40"/>
      <c r="R84" s="162">
        <v>36.200000000000003</v>
      </c>
      <c r="S84" s="36">
        <f t="shared" si="8"/>
        <v>13.289440879888447</v>
      </c>
      <c r="T84" s="35">
        <v>3</v>
      </c>
      <c r="U84" s="35"/>
      <c r="V84" s="161">
        <v>72</v>
      </c>
      <c r="W84" s="160">
        <f t="shared" si="9"/>
        <v>1.0000000000000009E-2</v>
      </c>
      <c r="X84" s="35">
        <f t="shared" si="10"/>
        <v>0</v>
      </c>
      <c r="Y84" s="35">
        <v>0</v>
      </c>
      <c r="Z84" s="34">
        <v>0</v>
      </c>
      <c r="AA84" s="33">
        <f t="shared" si="11"/>
        <v>0</v>
      </c>
      <c r="AB84" s="150"/>
      <c r="AC84" s="79"/>
      <c r="AD84" s="79"/>
      <c r="AE84" s="1"/>
      <c r="AF84" s="1"/>
      <c r="AG84" s="1"/>
      <c r="AH84" s="1"/>
    </row>
    <row r="85" spans="1:34">
      <c r="A85" s="32">
        <v>73</v>
      </c>
      <c r="B85" s="45"/>
      <c r="C85" s="168">
        <v>204</v>
      </c>
      <c r="D85" s="167">
        <v>204</v>
      </c>
      <c r="E85" s="80">
        <v>0.5</v>
      </c>
      <c r="F85" s="80">
        <v>0.5</v>
      </c>
      <c r="G85" s="80">
        <v>0.5</v>
      </c>
      <c r="H85" s="80">
        <v>0.5</v>
      </c>
      <c r="I85" s="80">
        <v>0.51</v>
      </c>
      <c r="J85" s="80"/>
      <c r="K85" s="166">
        <v>26.11</v>
      </c>
      <c r="L85" s="165">
        <v>26.42</v>
      </c>
      <c r="M85" s="116" t="s">
        <v>20</v>
      </c>
      <c r="N85" s="25"/>
      <c r="O85" s="25"/>
      <c r="P85" s="23"/>
      <c r="Q85" s="115" t="s">
        <v>21</v>
      </c>
      <c r="R85" s="162">
        <v>36.6</v>
      </c>
      <c r="S85" s="36">
        <f t="shared" si="8"/>
        <v>13.607232194836291</v>
      </c>
      <c r="T85" s="35">
        <v>3</v>
      </c>
      <c r="U85" s="35"/>
      <c r="V85" s="161">
        <v>73</v>
      </c>
      <c r="W85" s="160">
        <f t="shared" si="9"/>
        <v>1.0000000000000009E-2</v>
      </c>
      <c r="X85" s="35">
        <f t="shared" si="10"/>
        <v>0</v>
      </c>
      <c r="Y85" s="35">
        <v>0</v>
      </c>
      <c r="Z85" s="34">
        <v>0</v>
      </c>
      <c r="AA85" s="33">
        <f t="shared" si="11"/>
        <v>0</v>
      </c>
      <c r="AB85" s="150"/>
      <c r="AC85" s="79"/>
      <c r="AD85" s="79"/>
      <c r="AE85" s="1"/>
      <c r="AF85" s="1"/>
      <c r="AG85" s="1"/>
      <c r="AH85" s="1"/>
    </row>
    <row r="86" spans="1:34">
      <c r="A86" s="32">
        <v>74</v>
      </c>
      <c r="B86" s="45"/>
      <c r="C86" s="168">
        <v>204</v>
      </c>
      <c r="D86" s="167">
        <v>204</v>
      </c>
      <c r="E86" s="80">
        <v>0.49</v>
      </c>
      <c r="F86" s="80">
        <v>0.49</v>
      </c>
      <c r="G86" s="80">
        <v>0.49</v>
      </c>
      <c r="H86" s="80">
        <v>0.49</v>
      </c>
      <c r="I86" s="80">
        <v>0.49</v>
      </c>
      <c r="J86" s="80"/>
      <c r="K86" s="166">
        <v>26.13</v>
      </c>
      <c r="L86" s="165">
        <v>26.18</v>
      </c>
      <c r="M86" s="116"/>
      <c r="N86" s="25"/>
      <c r="O86" s="25" t="s">
        <v>20</v>
      </c>
      <c r="P86" s="23"/>
      <c r="Q86" s="40" t="s">
        <v>50</v>
      </c>
      <c r="R86" s="162">
        <v>35.4</v>
      </c>
      <c r="S86" s="36">
        <f t="shared" si="8"/>
        <v>13.540113043879375</v>
      </c>
      <c r="T86" s="35">
        <v>3</v>
      </c>
      <c r="U86" s="35"/>
      <c r="V86" s="161">
        <v>74</v>
      </c>
      <c r="W86" s="160">
        <f t="shared" si="9"/>
        <v>0</v>
      </c>
      <c r="X86" s="35">
        <f t="shared" si="10"/>
        <v>0</v>
      </c>
      <c r="Y86" s="35">
        <v>0</v>
      </c>
      <c r="Z86" s="34">
        <v>0</v>
      </c>
      <c r="AA86" s="33">
        <f t="shared" si="11"/>
        <v>0</v>
      </c>
      <c r="AB86" s="150"/>
      <c r="AC86" s="79"/>
      <c r="AD86" s="79"/>
      <c r="AE86" s="1"/>
      <c r="AF86" s="1"/>
      <c r="AG86" s="1"/>
      <c r="AH86" s="1"/>
    </row>
    <row r="87" spans="1:34">
      <c r="A87" s="32">
        <v>75</v>
      </c>
      <c r="B87" s="45"/>
      <c r="C87" s="168">
        <v>204</v>
      </c>
      <c r="D87" s="167">
        <v>204</v>
      </c>
      <c r="E87" s="80">
        <v>0.49</v>
      </c>
      <c r="F87" s="80">
        <v>0.49</v>
      </c>
      <c r="G87" s="80">
        <v>0.49</v>
      </c>
      <c r="H87" s="80">
        <v>0.49</v>
      </c>
      <c r="I87" s="80">
        <v>0.5</v>
      </c>
      <c r="J87" s="80"/>
      <c r="K87" s="166">
        <v>26.13</v>
      </c>
      <c r="L87" s="165">
        <v>26.26</v>
      </c>
      <c r="M87" s="116"/>
      <c r="N87" s="25" t="s">
        <v>20</v>
      </c>
      <c r="O87" s="25"/>
      <c r="P87" s="23"/>
      <c r="Q87" s="115" t="s">
        <v>21</v>
      </c>
      <c r="R87" s="162">
        <v>35.200000000000003</v>
      </c>
      <c r="S87" s="36">
        <f t="shared" si="8"/>
        <v>13.388409599039345</v>
      </c>
      <c r="T87" s="35">
        <v>3</v>
      </c>
      <c r="U87" s="35"/>
      <c r="V87" s="161">
        <v>75</v>
      </c>
      <c r="W87" s="160">
        <f t="shared" si="9"/>
        <v>1.0000000000000009E-2</v>
      </c>
      <c r="X87" s="35">
        <f t="shared" si="10"/>
        <v>0</v>
      </c>
      <c r="Y87" s="35">
        <v>0</v>
      </c>
      <c r="Z87" s="34">
        <v>0</v>
      </c>
      <c r="AA87" s="33">
        <f t="shared" si="11"/>
        <v>0</v>
      </c>
      <c r="AB87" s="150"/>
      <c r="AC87" s="79"/>
      <c r="AD87" s="79"/>
      <c r="AE87" s="1"/>
      <c r="AF87" s="1"/>
      <c r="AG87" s="1"/>
      <c r="AH87" s="1"/>
    </row>
    <row r="88" spans="1:34">
      <c r="A88" s="44">
        <v>76</v>
      </c>
      <c r="B88" s="45"/>
      <c r="C88" s="168">
        <v>204</v>
      </c>
      <c r="D88" s="167">
        <v>204</v>
      </c>
      <c r="E88" s="171">
        <v>0.5</v>
      </c>
      <c r="F88" s="171">
        <v>0.5</v>
      </c>
      <c r="G88" s="171">
        <v>0.49</v>
      </c>
      <c r="H88" s="171">
        <v>0.5</v>
      </c>
      <c r="I88" s="171">
        <v>0.48</v>
      </c>
      <c r="J88" s="170"/>
      <c r="K88" s="166">
        <v>26.1</v>
      </c>
      <c r="L88" s="165">
        <v>26.23</v>
      </c>
      <c r="M88" s="116"/>
      <c r="N88" s="25"/>
      <c r="O88" s="25"/>
      <c r="P88" s="23" t="s">
        <v>20</v>
      </c>
      <c r="Q88" s="115" t="s">
        <v>19</v>
      </c>
      <c r="R88" s="162">
        <v>35.700000000000003</v>
      </c>
      <c r="S88" s="36">
        <f t="shared" si="8"/>
        <v>13.539117605417507</v>
      </c>
      <c r="T88" s="35">
        <v>3</v>
      </c>
      <c r="U88" s="35"/>
      <c r="V88" s="172">
        <v>76</v>
      </c>
      <c r="W88" s="160">
        <f t="shared" si="9"/>
        <v>2.0000000000000018E-2</v>
      </c>
      <c r="X88" s="35">
        <f t="shared" si="10"/>
        <v>0</v>
      </c>
      <c r="Y88" s="35">
        <v>0</v>
      </c>
      <c r="Z88" s="34">
        <v>0</v>
      </c>
      <c r="AA88" s="33">
        <f t="shared" si="11"/>
        <v>0</v>
      </c>
      <c r="AB88" s="169" t="s">
        <v>58</v>
      </c>
      <c r="AC88" s="79">
        <v>0.5</v>
      </c>
      <c r="AD88" s="79">
        <v>0.49</v>
      </c>
      <c r="AE88" s="79">
        <v>0.49</v>
      </c>
      <c r="AF88" s="79">
        <v>0.49</v>
      </c>
      <c r="AG88" s="79">
        <v>0.49</v>
      </c>
      <c r="AH88" s="79">
        <v>0.47</v>
      </c>
    </row>
    <row r="89" spans="1:34">
      <c r="A89" s="32">
        <v>77</v>
      </c>
      <c r="B89" s="45"/>
      <c r="C89" s="168">
        <v>204</v>
      </c>
      <c r="D89" s="167">
        <v>204</v>
      </c>
      <c r="E89" s="80">
        <v>0.5</v>
      </c>
      <c r="F89" s="80">
        <v>0.5</v>
      </c>
      <c r="G89" s="80">
        <v>0.5</v>
      </c>
      <c r="H89" s="80">
        <v>0.5</v>
      </c>
      <c r="I89" s="80">
        <v>0.5</v>
      </c>
      <c r="J89" s="80"/>
      <c r="K89" s="166">
        <v>26.4</v>
      </c>
      <c r="L89" s="165">
        <v>26.26</v>
      </c>
      <c r="M89" s="116"/>
      <c r="N89" s="25"/>
      <c r="O89" s="25" t="s">
        <v>20</v>
      </c>
      <c r="P89" s="23"/>
      <c r="Q89" s="115" t="s">
        <v>21</v>
      </c>
      <c r="R89" s="162">
        <v>36</v>
      </c>
      <c r="S89" s="36">
        <f t="shared" si="8"/>
        <v>13.404526261701035</v>
      </c>
      <c r="T89" s="35">
        <v>3</v>
      </c>
      <c r="U89" s="35"/>
      <c r="V89" s="161">
        <v>77</v>
      </c>
      <c r="W89" s="160">
        <f t="shared" si="9"/>
        <v>0</v>
      </c>
      <c r="X89" s="35">
        <f t="shared" si="10"/>
        <v>0</v>
      </c>
      <c r="Y89" s="35">
        <v>0</v>
      </c>
      <c r="Z89" s="34">
        <v>0</v>
      </c>
      <c r="AA89" s="33">
        <f t="shared" si="11"/>
        <v>0</v>
      </c>
      <c r="AB89" s="150"/>
      <c r="AC89" s="79"/>
      <c r="AD89" s="79"/>
      <c r="AE89" s="1"/>
      <c r="AF89" s="1"/>
      <c r="AG89" s="1"/>
      <c r="AH89" s="1"/>
    </row>
    <row r="90" spans="1:34">
      <c r="A90" s="32">
        <v>78</v>
      </c>
      <c r="B90" s="45"/>
      <c r="C90" s="168">
        <v>204</v>
      </c>
      <c r="D90" s="167">
        <v>204</v>
      </c>
      <c r="E90" s="80">
        <v>0.5</v>
      </c>
      <c r="F90" s="80">
        <v>0.5</v>
      </c>
      <c r="G90" s="80">
        <v>0.5</v>
      </c>
      <c r="H90" s="80">
        <v>0.5</v>
      </c>
      <c r="I90" s="80">
        <v>0.5</v>
      </c>
      <c r="J90" s="80"/>
      <c r="K90" s="166">
        <v>26.13</v>
      </c>
      <c r="L90" s="165">
        <v>26.11</v>
      </c>
      <c r="M90" s="116"/>
      <c r="N90" s="25" t="s">
        <v>20</v>
      </c>
      <c r="O90" s="25" t="s">
        <v>20</v>
      </c>
      <c r="P90" s="23" t="s">
        <v>20</v>
      </c>
      <c r="Q90" s="115" t="s">
        <v>19</v>
      </c>
      <c r="R90" s="162">
        <v>36</v>
      </c>
      <c r="S90" s="36">
        <f t="shared" si="8"/>
        <v>13.512296189532474</v>
      </c>
      <c r="T90" s="35">
        <v>3</v>
      </c>
      <c r="U90" s="35"/>
      <c r="V90" s="161">
        <v>78</v>
      </c>
      <c r="W90" s="160">
        <f t="shared" si="9"/>
        <v>0</v>
      </c>
      <c r="X90" s="35">
        <f t="shared" si="10"/>
        <v>0</v>
      </c>
      <c r="Y90" s="35">
        <v>0</v>
      </c>
      <c r="Z90" s="34">
        <v>0</v>
      </c>
      <c r="AA90" s="33">
        <f t="shared" si="11"/>
        <v>0</v>
      </c>
      <c r="AB90" s="150"/>
      <c r="AC90" s="79"/>
      <c r="AD90" s="79"/>
      <c r="AE90" s="1"/>
      <c r="AF90" s="1"/>
      <c r="AG90" s="1"/>
      <c r="AH90" s="1"/>
    </row>
    <row r="91" spans="1:34">
      <c r="A91" s="32">
        <v>79</v>
      </c>
      <c r="B91" s="45"/>
      <c r="C91" s="168">
        <v>204</v>
      </c>
      <c r="D91" s="167">
        <v>204</v>
      </c>
      <c r="E91" s="80">
        <v>0.48</v>
      </c>
      <c r="F91" s="80">
        <v>0.48</v>
      </c>
      <c r="G91" s="80">
        <v>0.48</v>
      </c>
      <c r="H91" s="80">
        <v>0.47</v>
      </c>
      <c r="I91" s="80">
        <v>0.47</v>
      </c>
      <c r="J91" s="80"/>
      <c r="K91" s="166">
        <v>26.26</v>
      </c>
      <c r="L91" s="165">
        <v>26.3</v>
      </c>
      <c r="M91" s="116"/>
      <c r="N91" s="25"/>
      <c r="O91" s="25" t="s">
        <v>20</v>
      </c>
      <c r="P91" s="23"/>
      <c r="Q91" s="40"/>
      <c r="R91" s="162">
        <v>34.6</v>
      </c>
      <c r="S91" s="36">
        <f t="shared" si="8"/>
        <v>13.558561574867209</v>
      </c>
      <c r="T91" s="35">
        <v>3</v>
      </c>
      <c r="U91" s="35"/>
      <c r="V91" s="161">
        <v>79</v>
      </c>
      <c r="W91" s="160">
        <f t="shared" si="9"/>
        <v>1.0000000000000009E-2</v>
      </c>
      <c r="X91" s="35">
        <f t="shared" si="10"/>
        <v>0</v>
      </c>
      <c r="Y91" s="35">
        <v>0</v>
      </c>
      <c r="Z91" s="34">
        <v>0</v>
      </c>
      <c r="AA91" s="33">
        <f t="shared" si="11"/>
        <v>0</v>
      </c>
      <c r="AB91" s="150"/>
      <c r="AC91" s="79"/>
      <c r="AD91" s="79"/>
      <c r="AE91" s="1"/>
      <c r="AF91" s="1"/>
      <c r="AG91" s="1"/>
      <c r="AH91" s="1"/>
    </row>
    <row r="92" spans="1:34">
      <c r="A92" s="32">
        <v>80</v>
      </c>
      <c r="B92" s="45"/>
      <c r="C92" s="168">
        <v>204</v>
      </c>
      <c r="D92" s="167">
        <v>204</v>
      </c>
      <c r="E92" s="80">
        <v>0.5</v>
      </c>
      <c r="F92" s="80">
        <v>0.5</v>
      </c>
      <c r="G92" s="80">
        <v>0.5</v>
      </c>
      <c r="H92" s="80">
        <v>0.5</v>
      </c>
      <c r="I92" s="80">
        <v>0.49</v>
      </c>
      <c r="J92" s="80"/>
      <c r="K92" s="166">
        <v>26.36</v>
      </c>
      <c r="L92" s="165">
        <v>26.26</v>
      </c>
      <c r="M92" s="116"/>
      <c r="N92" s="25" t="s">
        <v>20</v>
      </c>
      <c r="O92" s="25"/>
      <c r="P92" s="23" t="s">
        <v>20</v>
      </c>
      <c r="Q92" s="115" t="s">
        <v>21</v>
      </c>
      <c r="R92" s="162">
        <v>35.799999999999997</v>
      </c>
      <c r="S92" s="36">
        <f t="shared" si="8"/>
        <v>13.393764802916058</v>
      </c>
      <c r="T92" s="35">
        <v>3</v>
      </c>
      <c r="U92" s="35"/>
      <c r="V92" s="161">
        <v>80</v>
      </c>
      <c r="W92" s="160">
        <f t="shared" si="9"/>
        <v>1.0000000000000009E-2</v>
      </c>
      <c r="X92" s="35">
        <f t="shared" si="10"/>
        <v>0</v>
      </c>
      <c r="Y92" s="35">
        <v>0</v>
      </c>
      <c r="Z92" s="34">
        <v>0</v>
      </c>
      <c r="AA92" s="33">
        <f t="shared" si="11"/>
        <v>0</v>
      </c>
      <c r="AB92" s="150"/>
      <c r="AC92" s="79"/>
      <c r="AD92" s="79"/>
      <c r="AE92" s="1"/>
      <c r="AF92" s="1"/>
      <c r="AG92" s="1"/>
      <c r="AH92" s="1"/>
    </row>
    <row r="93" spans="1:34">
      <c r="A93" s="32">
        <v>81</v>
      </c>
      <c r="B93" s="45"/>
      <c r="C93" s="168">
        <v>204</v>
      </c>
      <c r="D93" s="167">
        <v>204</v>
      </c>
      <c r="E93" s="80">
        <v>0.5</v>
      </c>
      <c r="F93" s="80">
        <v>0.5</v>
      </c>
      <c r="G93" s="80">
        <v>0.5</v>
      </c>
      <c r="H93" s="80">
        <v>0.49</v>
      </c>
      <c r="I93" s="80">
        <v>0.5</v>
      </c>
      <c r="J93" s="80"/>
      <c r="K93" s="166">
        <v>26.34</v>
      </c>
      <c r="L93" s="165">
        <v>26.27</v>
      </c>
      <c r="M93" s="116"/>
      <c r="N93" s="25"/>
      <c r="O93" s="25"/>
      <c r="P93" s="23"/>
      <c r="Q93" s="115" t="s">
        <v>21</v>
      </c>
      <c r="R93" s="162">
        <v>36.4</v>
      </c>
      <c r="S93" s="36">
        <f t="shared" si="8"/>
        <v>13.620829835137513</v>
      </c>
      <c r="T93" s="35">
        <v>3</v>
      </c>
      <c r="U93" s="35"/>
      <c r="V93" s="161">
        <v>81</v>
      </c>
      <c r="W93" s="160">
        <f t="shared" si="9"/>
        <v>1.0000000000000009E-2</v>
      </c>
      <c r="X93" s="35">
        <f t="shared" si="10"/>
        <v>0</v>
      </c>
      <c r="Y93" s="35">
        <v>0</v>
      </c>
      <c r="Z93" s="34">
        <v>0</v>
      </c>
      <c r="AA93" s="33">
        <f t="shared" si="11"/>
        <v>0</v>
      </c>
      <c r="AB93" s="150"/>
      <c r="AC93" s="79"/>
      <c r="AD93" s="79"/>
      <c r="AE93" s="1"/>
      <c r="AF93" s="1"/>
      <c r="AG93" s="1"/>
      <c r="AH93" s="1"/>
    </row>
    <row r="94" spans="1:34">
      <c r="A94" s="32">
        <v>82</v>
      </c>
      <c r="B94" s="45"/>
      <c r="C94" s="168">
        <v>204</v>
      </c>
      <c r="D94" s="167">
        <v>204</v>
      </c>
      <c r="E94" s="80">
        <v>0.51</v>
      </c>
      <c r="F94" s="80">
        <v>0.51</v>
      </c>
      <c r="G94" s="80">
        <v>0.5</v>
      </c>
      <c r="H94" s="80">
        <v>0.5</v>
      </c>
      <c r="I94" s="80">
        <v>0.5</v>
      </c>
      <c r="J94" s="80"/>
      <c r="K94" s="166">
        <v>26.24</v>
      </c>
      <c r="L94" s="165">
        <v>26.36</v>
      </c>
      <c r="M94" s="41"/>
      <c r="N94" s="164"/>
      <c r="O94" s="25" t="s">
        <v>20</v>
      </c>
      <c r="P94" s="23"/>
      <c r="Q94" s="163" t="s">
        <v>21</v>
      </c>
      <c r="R94" s="162">
        <v>36.1</v>
      </c>
      <c r="S94" s="36">
        <f t="shared" si="8"/>
        <v>13.350291531906386</v>
      </c>
      <c r="T94" s="35">
        <v>3</v>
      </c>
      <c r="U94" s="35"/>
      <c r="V94" s="161">
        <v>82</v>
      </c>
      <c r="W94" s="160">
        <f t="shared" si="9"/>
        <v>1.0000000000000009E-2</v>
      </c>
      <c r="X94" s="35">
        <f t="shared" si="10"/>
        <v>0</v>
      </c>
      <c r="Y94" s="35">
        <v>0</v>
      </c>
      <c r="Z94" s="34">
        <v>0</v>
      </c>
      <c r="AA94" s="33">
        <f t="shared" si="11"/>
        <v>0</v>
      </c>
      <c r="AB94" s="150"/>
      <c r="AC94" s="79"/>
      <c r="AD94" s="79"/>
      <c r="AE94" s="1"/>
      <c r="AF94" s="1"/>
      <c r="AG94" s="1"/>
      <c r="AH94" s="1"/>
    </row>
    <row r="95" spans="1:34">
      <c r="A95" s="32">
        <v>83</v>
      </c>
      <c r="B95" s="45"/>
      <c r="C95" s="168">
        <v>204</v>
      </c>
      <c r="D95" s="167">
        <v>204</v>
      </c>
      <c r="E95" s="80">
        <v>0.51</v>
      </c>
      <c r="F95" s="80">
        <v>0.51</v>
      </c>
      <c r="G95" s="80">
        <v>0.51</v>
      </c>
      <c r="H95" s="80">
        <v>0.51</v>
      </c>
      <c r="I95" s="80">
        <v>0.5</v>
      </c>
      <c r="J95" s="80"/>
      <c r="K95" s="166">
        <v>26.24</v>
      </c>
      <c r="L95" s="165">
        <v>26.44</v>
      </c>
      <c r="M95" s="41"/>
      <c r="N95" s="164"/>
      <c r="O95" s="25"/>
      <c r="P95" s="23"/>
      <c r="Q95" s="123"/>
      <c r="R95" s="162">
        <v>37.1</v>
      </c>
      <c r="S95" s="36">
        <f t="shared" si="8"/>
        <v>13.591402039504541</v>
      </c>
      <c r="T95" s="35">
        <v>3</v>
      </c>
      <c r="U95" s="35"/>
      <c r="V95" s="161">
        <v>83</v>
      </c>
      <c r="W95" s="160">
        <f t="shared" si="9"/>
        <v>1.0000000000000009E-2</v>
      </c>
      <c r="X95" s="35">
        <f t="shared" si="10"/>
        <v>0</v>
      </c>
      <c r="Y95" s="35">
        <v>0</v>
      </c>
      <c r="Z95" s="34">
        <v>0</v>
      </c>
      <c r="AA95" s="33">
        <f t="shared" si="11"/>
        <v>0</v>
      </c>
      <c r="AB95" s="150"/>
      <c r="AC95" s="79"/>
      <c r="AD95" s="79"/>
      <c r="AE95" s="1"/>
      <c r="AF95" s="1"/>
      <c r="AG95" s="1"/>
      <c r="AH95" s="1"/>
    </row>
    <row r="96" spans="1:34">
      <c r="A96" s="32">
        <v>84</v>
      </c>
      <c r="B96" s="45"/>
      <c r="C96" s="168">
        <v>204</v>
      </c>
      <c r="D96" s="167">
        <v>204</v>
      </c>
      <c r="E96" s="80">
        <v>0.49</v>
      </c>
      <c r="F96" s="80">
        <v>0.49</v>
      </c>
      <c r="G96" s="80">
        <v>0.49</v>
      </c>
      <c r="H96" s="80">
        <v>0.49</v>
      </c>
      <c r="I96" s="80">
        <v>0.49</v>
      </c>
      <c r="J96" s="80"/>
      <c r="K96" s="166">
        <v>26.07</v>
      </c>
      <c r="L96" s="165">
        <v>26.17</v>
      </c>
      <c r="M96" s="41"/>
      <c r="N96" s="164"/>
      <c r="O96" s="25"/>
      <c r="P96" s="23" t="s">
        <v>20</v>
      </c>
      <c r="Q96" s="123"/>
      <c r="R96" s="162">
        <v>35.5</v>
      </c>
      <c r="S96" s="36">
        <f t="shared" si="8"/>
        <v>13.596556539920714</v>
      </c>
      <c r="T96" s="35">
        <v>3</v>
      </c>
      <c r="U96" s="35"/>
      <c r="V96" s="161">
        <v>84</v>
      </c>
      <c r="W96" s="160">
        <f t="shared" si="9"/>
        <v>0</v>
      </c>
      <c r="X96" s="35">
        <f t="shared" si="10"/>
        <v>0</v>
      </c>
      <c r="Y96" s="35">
        <v>0</v>
      </c>
      <c r="Z96" s="34">
        <v>0</v>
      </c>
      <c r="AA96" s="33">
        <f t="shared" si="11"/>
        <v>0</v>
      </c>
      <c r="AB96" s="150"/>
      <c r="AC96" s="79"/>
      <c r="AD96" s="79"/>
      <c r="AE96" s="1"/>
      <c r="AF96" s="1"/>
      <c r="AG96" s="1"/>
      <c r="AH96" s="1"/>
    </row>
    <row r="97" spans="1:34">
      <c r="A97" s="32">
        <v>85</v>
      </c>
      <c r="B97" s="45"/>
      <c r="C97" s="168">
        <v>204</v>
      </c>
      <c r="D97" s="167">
        <v>204</v>
      </c>
      <c r="E97" s="80">
        <v>0.51</v>
      </c>
      <c r="F97" s="80">
        <v>0.51</v>
      </c>
      <c r="G97" s="80">
        <v>0.5</v>
      </c>
      <c r="H97" s="80">
        <v>0.5</v>
      </c>
      <c r="I97" s="80">
        <v>0.51</v>
      </c>
      <c r="J97" s="80"/>
      <c r="K97" s="166">
        <v>26.41</v>
      </c>
      <c r="L97" s="165">
        <v>26.21</v>
      </c>
      <c r="M97" s="41"/>
      <c r="N97" s="164"/>
      <c r="O97" s="25"/>
      <c r="P97" s="23" t="s">
        <v>20</v>
      </c>
      <c r="Q97" s="123"/>
      <c r="R97" s="162">
        <v>36.700000000000003</v>
      </c>
      <c r="S97" s="36">
        <f t="shared" si="8"/>
        <v>13.513396879732358</v>
      </c>
      <c r="T97" s="35">
        <v>3</v>
      </c>
      <c r="U97" s="35"/>
      <c r="V97" s="161">
        <v>85</v>
      </c>
      <c r="W97" s="160">
        <f t="shared" si="9"/>
        <v>1.0000000000000009E-2</v>
      </c>
      <c r="X97" s="35">
        <f t="shared" si="10"/>
        <v>0</v>
      </c>
      <c r="Y97" s="35">
        <v>0</v>
      </c>
      <c r="Z97" s="34">
        <v>0</v>
      </c>
      <c r="AA97" s="33">
        <f t="shared" si="11"/>
        <v>0</v>
      </c>
      <c r="AB97" s="150"/>
      <c r="AC97" s="79"/>
      <c r="AD97" s="79"/>
      <c r="AE97" s="1"/>
      <c r="AF97" s="1"/>
      <c r="AG97" s="1"/>
      <c r="AH97" s="1"/>
    </row>
    <row r="98" spans="1:34">
      <c r="A98" s="32">
        <v>86</v>
      </c>
      <c r="B98" s="45"/>
      <c r="C98" s="168">
        <v>204</v>
      </c>
      <c r="D98" s="167">
        <v>204</v>
      </c>
      <c r="E98" s="80">
        <v>0.49</v>
      </c>
      <c r="F98" s="80">
        <v>0.48</v>
      </c>
      <c r="G98" s="80">
        <v>0.48</v>
      </c>
      <c r="H98" s="80">
        <v>0.48</v>
      </c>
      <c r="I98" s="80">
        <v>0.48</v>
      </c>
      <c r="J98" s="80"/>
      <c r="K98" s="166">
        <v>26.16</v>
      </c>
      <c r="L98" s="165">
        <v>26.08</v>
      </c>
      <c r="M98" s="41"/>
      <c r="N98" s="164"/>
      <c r="O98" s="25" t="s">
        <v>20</v>
      </c>
      <c r="P98" s="23"/>
      <c r="Q98" s="123"/>
      <c r="R98" s="162">
        <v>35</v>
      </c>
      <c r="S98" s="36">
        <f t="shared" si="8"/>
        <v>13.627546295344533</v>
      </c>
      <c r="T98" s="35">
        <v>3</v>
      </c>
      <c r="U98" s="35"/>
      <c r="V98" s="161">
        <v>86</v>
      </c>
      <c r="W98" s="160">
        <f t="shared" si="9"/>
        <v>1.0000000000000009E-2</v>
      </c>
      <c r="X98" s="35">
        <f t="shared" si="10"/>
        <v>0</v>
      </c>
      <c r="Y98" s="35">
        <v>0</v>
      </c>
      <c r="Z98" s="34">
        <v>0</v>
      </c>
      <c r="AA98" s="33">
        <f t="shared" si="11"/>
        <v>0</v>
      </c>
      <c r="AB98" s="150"/>
      <c r="AC98" s="79"/>
      <c r="AD98" s="79"/>
      <c r="AE98" s="1"/>
      <c r="AF98" s="1"/>
      <c r="AG98" s="1"/>
      <c r="AH98" s="1"/>
    </row>
    <row r="99" spans="1:34">
      <c r="A99" s="32">
        <v>87</v>
      </c>
      <c r="B99" s="45"/>
      <c r="C99" s="168">
        <v>204</v>
      </c>
      <c r="D99" s="167">
        <v>204</v>
      </c>
      <c r="E99" s="80">
        <v>0.49</v>
      </c>
      <c r="F99" s="80">
        <v>0.49</v>
      </c>
      <c r="G99" s="80">
        <v>0.5</v>
      </c>
      <c r="H99" s="80">
        <v>0.5</v>
      </c>
      <c r="I99" s="80">
        <v>0.5</v>
      </c>
      <c r="J99" s="80"/>
      <c r="K99" s="166">
        <v>26.08</v>
      </c>
      <c r="L99" s="165">
        <v>26.21</v>
      </c>
      <c r="M99" s="41" t="s">
        <v>20</v>
      </c>
      <c r="N99" s="164"/>
      <c r="O99" s="25" t="s">
        <v>20</v>
      </c>
      <c r="P99" s="23" t="s">
        <v>20</v>
      </c>
      <c r="Q99" s="163" t="s">
        <v>21</v>
      </c>
      <c r="R99" s="162">
        <v>36.1</v>
      </c>
      <c r="S99" s="36">
        <f t="shared" si="8"/>
        <v>13.646042257642359</v>
      </c>
      <c r="T99" s="35">
        <v>3</v>
      </c>
      <c r="U99" s="35"/>
      <c r="V99" s="161">
        <v>87</v>
      </c>
      <c r="W99" s="160">
        <f t="shared" si="9"/>
        <v>1.0000000000000009E-2</v>
      </c>
      <c r="X99" s="35">
        <f t="shared" si="10"/>
        <v>0</v>
      </c>
      <c r="Y99" s="35">
        <v>0</v>
      </c>
      <c r="Z99" s="34">
        <v>0</v>
      </c>
      <c r="AA99" s="33">
        <f t="shared" si="11"/>
        <v>0</v>
      </c>
      <c r="AB99" s="150"/>
      <c r="AC99" s="79"/>
      <c r="AD99" s="79"/>
      <c r="AE99" s="1"/>
      <c r="AF99" s="1"/>
      <c r="AG99" s="1"/>
      <c r="AH99" s="1"/>
    </row>
    <row r="100" spans="1:34">
      <c r="A100" s="32">
        <v>88</v>
      </c>
      <c r="B100" s="45"/>
      <c r="C100" s="168">
        <v>204</v>
      </c>
      <c r="D100" s="167">
        <v>204</v>
      </c>
      <c r="E100" s="80">
        <v>0.49</v>
      </c>
      <c r="F100" s="80">
        <v>0.49</v>
      </c>
      <c r="G100" s="80">
        <v>0.49</v>
      </c>
      <c r="H100" s="80">
        <v>0.49</v>
      </c>
      <c r="I100" s="80">
        <v>0.49</v>
      </c>
      <c r="J100" s="80"/>
      <c r="K100" s="166">
        <v>26.27</v>
      </c>
      <c r="L100" s="165">
        <v>26.4</v>
      </c>
      <c r="M100" s="41"/>
      <c r="N100" s="164"/>
      <c r="O100" s="25" t="s">
        <v>20</v>
      </c>
      <c r="P100" s="23"/>
      <c r="Q100" s="123"/>
      <c r="R100" s="162">
        <v>35.5</v>
      </c>
      <c r="S100" s="36">
        <f t="shared" si="8"/>
        <v>13.485553705059012</v>
      </c>
      <c r="T100" s="35">
        <v>3</v>
      </c>
      <c r="U100" s="35"/>
      <c r="V100" s="161">
        <v>88</v>
      </c>
      <c r="W100" s="160">
        <f t="shared" si="9"/>
        <v>0</v>
      </c>
      <c r="X100" s="35">
        <f t="shared" si="10"/>
        <v>0</v>
      </c>
      <c r="Y100" s="35">
        <v>0</v>
      </c>
      <c r="Z100" s="34">
        <v>0</v>
      </c>
      <c r="AA100" s="33">
        <f t="shared" si="11"/>
        <v>0</v>
      </c>
      <c r="AB100" s="150"/>
      <c r="AC100" s="79"/>
      <c r="AD100" s="79"/>
      <c r="AE100" s="1"/>
      <c r="AF100" s="1"/>
      <c r="AG100" s="1"/>
      <c r="AH100" s="1"/>
    </row>
    <row r="101" spans="1:34">
      <c r="A101" s="32">
        <v>89</v>
      </c>
      <c r="B101" s="45"/>
      <c r="C101" s="168">
        <v>204</v>
      </c>
      <c r="D101" s="167">
        <v>204</v>
      </c>
      <c r="E101" s="80">
        <v>0.5</v>
      </c>
      <c r="F101" s="80">
        <v>0.5</v>
      </c>
      <c r="G101" s="80">
        <v>0.51</v>
      </c>
      <c r="H101" s="80">
        <v>0.51</v>
      </c>
      <c r="I101" s="80">
        <v>0.51</v>
      </c>
      <c r="J101" s="80"/>
      <c r="K101" s="166">
        <v>26.16</v>
      </c>
      <c r="L101" s="165">
        <v>26.21</v>
      </c>
      <c r="M101" s="41" t="s">
        <v>20</v>
      </c>
      <c r="N101" s="164" t="s">
        <v>20</v>
      </c>
      <c r="O101" s="25" t="s">
        <v>20</v>
      </c>
      <c r="P101" s="23" t="s">
        <v>20</v>
      </c>
      <c r="Q101" s="163" t="s">
        <v>21</v>
      </c>
      <c r="R101" s="162">
        <v>36.4</v>
      </c>
      <c r="S101" s="36">
        <f t="shared" si="8"/>
        <v>13.466915067614789</v>
      </c>
      <c r="T101" s="35">
        <v>3</v>
      </c>
      <c r="U101" s="35"/>
      <c r="V101" s="161">
        <v>89</v>
      </c>
      <c r="W101" s="160">
        <f t="shared" si="9"/>
        <v>1.0000000000000009E-2</v>
      </c>
      <c r="X101" s="35">
        <f t="shared" si="10"/>
        <v>0</v>
      </c>
      <c r="Y101" s="35">
        <v>0</v>
      </c>
      <c r="Z101" s="34">
        <v>0</v>
      </c>
      <c r="AA101" s="33">
        <f t="shared" si="11"/>
        <v>0</v>
      </c>
      <c r="AB101" s="150"/>
      <c r="AC101" s="79"/>
      <c r="AD101" s="79"/>
      <c r="AE101" s="1"/>
      <c r="AF101" s="1"/>
      <c r="AG101" s="1"/>
      <c r="AH101" s="1"/>
    </row>
    <row r="102" spans="1:34">
      <c r="A102" s="32">
        <v>90</v>
      </c>
      <c r="B102" s="45"/>
      <c r="C102" s="168">
        <v>204</v>
      </c>
      <c r="D102" s="167">
        <v>204</v>
      </c>
      <c r="E102" s="80">
        <v>0.49</v>
      </c>
      <c r="F102" s="80">
        <v>0.49</v>
      </c>
      <c r="G102" s="80">
        <v>0.49</v>
      </c>
      <c r="H102" s="80">
        <v>0.49</v>
      </c>
      <c r="I102" s="80">
        <v>0.48</v>
      </c>
      <c r="J102" s="80"/>
      <c r="K102" s="166">
        <v>26.3</v>
      </c>
      <c r="L102" s="165">
        <v>26.39</v>
      </c>
      <c r="M102" s="41" t="s">
        <v>20</v>
      </c>
      <c r="N102" s="164" t="s">
        <v>20</v>
      </c>
      <c r="O102" s="25"/>
      <c r="P102" s="23"/>
      <c r="Q102" s="163" t="s">
        <v>21</v>
      </c>
      <c r="R102" s="162">
        <v>34.9</v>
      </c>
      <c r="S102" s="36">
        <f t="shared" si="8"/>
        <v>13.306910460857429</v>
      </c>
      <c r="T102" s="35">
        <v>3</v>
      </c>
      <c r="U102" s="35"/>
      <c r="V102" s="161">
        <v>90</v>
      </c>
      <c r="W102" s="160">
        <f t="shared" si="9"/>
        <v>1.0000000000000009E-2</v>
      </c>
      <c r="X102" s="35">
        <f t="shared" si="10"/>
        <v>0</v>
      </c>
      <c r="Y102" s="35">
        <v>0</v>
      </c>
      <c r="Z102" s="34">
        <v>0</v>
      </c>
      <c r="AA102" s="33">
        <f t="shared" si="11"/>
        <v>0</v>
      </c>
      <c r="AB102" s="150"/>
      <c r="AC102" s="79"/>
      <c r="AD102" s="79"/>
      <c r="AE102" s="1"/>
      <c r="AF102" s="1"/>
      <c r="AG102" s="1"/>
      <c r="AH102" s="1"/>
    </row>
    <row r="103" spans="1:34">
      <c r="A103" s="32">
        <v>91</v>
      </c>
      <c r="B103" s="45"/>
      <c r="C103" s="168">
        <v>204</v>
      </c>
      <c r="D103" s="167">
        <v>204</v>
      </c>
      <c r="E103" s="80">
        <v>0.49</v>
      </c>
      <c r="F103" s="80">
        <v>0.49</v>
      </c>
      <c r="G103" s="80">
        <v>0.49</v>
      </c>
      <c r="H103" s="80">
        <v>0.49</v>
      </c>
      <c r="I103" s="80">
        <v>0.49</v>
      </c>
      <c r="J103" s="80"/>
      <c r="K103" s="166">
        <v>26.3</v>
      </c>
      <c r="L103" s="165">
        <v>26.43</v>
      </c>
      <c r="M103" s="41"/>
      <c r="N103" s="164" t="s">
        <v>20</v>
      </c>
      <c r="O103" s="45" t="s">
        <v>20</v>
      </c>
      <c r="P103" s="23" t="s">
        <v>20</v>
      </c>
      <c r="Q103" s="163" t="s">
        <v>21</v>
      </c>
      <c r="R103" s="162">
        <v>35.299999999999997</v>
      </c>
      <c r="S103" s="36">
        <f t="shared" si="8"/>
        <v>13.394320368010655</v>
      </c>
      <c r="T103" s="35">
        <v>3</v>
      </c>
      <c r="U103" s="35"/>
      <c r="V103" s="161">
        <v>91</v>
      </c>
      <c r="W103" s="160">
        <f t="shared" si="9"/>
        <v>0</v>
      </c>
      <c r="X103" s="35">
        <f t="shared" si="10"/>
        <v>0</v>
      </c>
      <c r="Y103" s="35">
        <v>0</v>
      </c>
      <c r="Z103" s="34">
        <v>0</v>
      </c>
      <c r="AA103" s="33">
        <f t="shared" si="11"/>
        <v>0</v>
      </c>
      <c r="AB103" s="150"/>
      <c r="AC103" s="79"/>
      <c r="AD103" s="79"/>
      <c r="AE103" s="1"/>
      <c r="AF103" s="1"/>
      <c r="AG103" s="1"/>
      <c r="AH103" s="1"/>
    </row>
    <row r="104" spans="1:34">
      <c r="A104" s="32">
        <v>92</v>
      </c>
      <c r="B104" s="45"/>
      <c r="C104" s="168">
        <v>204</v>
      </c>
      <c r="D104" s="167">
        <v>204</v>
      </c>
      <c r="E104" s="80">
        <v>0.5</v>
      </c>
      <c r="F104" s="80">
        <v>0.5</v>
      </c>
      <c r="G104" s="80">
        <v>0.49</v>
      </c>
      <c r="H104" s="80">
        <v>0.5</v>
      </c>
      <c r="I104" s="80">
        <v>0.5</v>
      </c>
      <c r="J104" s="80"/>
      <c r="K104" s="166">
        <v>26.24</v>
      </c>
      <c r="L104" s="165">
        <v>26.3</v>
      </c>
      <c r="M104" s="41"/>
      <c r="N104" s="164"/>
      <c r="O104" s="45"/>
      <c r="P104" s="23" t="s">
        <v>20</v>
      </c>
      <c r="Q104" s="123"/>
      <c r="R104" s="162">
        <v>35.299999999999997</v>
      </c>
      <c r="S104" s="36">
        <f t="shared" si="8"/>
        <v>13.226810224244863</v>
      </c>
      <c r="T104" s="35">
        <v>3</v>
      </c>
      <c r="U104" s="35"/>
      <c r="V104" s="161">
        <v>92</v>
      </c>
      <c r="W104" s="160">
        <f t="shared" si="9"/>
        <v>1.0000000000000009E-2</v>
      </c>
      <c r="X104" s="35">
        <f t="shared" si="10"/>
        <v>0</v>
      </c>
      <c r="Y104" s="35">
        <v>0</v>
      </c>
      <c r="Z104" s="34">
        <v>0</v>
      </c>
      <c r="AA104" s="33">
        <f t="shared" si="11"/>
        <v>0</v>
      </c>
      <c r="AB104" s="150"/>
      <c r="AC104" s="79"/>
      <c r="AD104" s="79"/>
      <c r="AE104" s="1"/>
      <c r="AF104" s="1"/>
      <c r="AG104" s="1"/>
      <c r="AH104" s="1"/>
    </row>
    <row r="105" spans="1:34">
      <c r="A105" s="32">
        <v>93</v>
      </c>
      <c r="B105" s="45"/>
      <c r="C105" s="168">
        <v>204</v>
      </c>
      <c r="D105" s="167">
        <v>204</v>
      </c>
      <c r="E105" s="80">
        <v>0.5</v>
      </c>
      <c r="F105" s="80">
        <v>0.5</v>
      </c>
      <c r="G105" s="80">
        <v>0.51</v>
      </c>
      <c r="H105" s="80">
        <v>0.51</v>
      </c>
      <c r="I105" s="80">
        <v>0.51</v>
      </c>
      <c r="J105" s="80"/>
      <c r="K105" s="166">
        <v>26.35</v>
      </c>
      <c r="L105" s="165">
        <v>26.25</v>
      </c>
      <c r="M105" s="41"/>
      <c r="N105" s="164"/>
      <c r="O105" s="45" t="s">
        <v>20</v>
      </c>
      <c r="P105" s="23" t="s">
        <v>20</v>
      </c>
      <c r="Q105" s="123"/>
      <c r="R105" s="162">
        <v>36.6</v>
      </c>
      <c r="S105" s="36">
        <f t="shared" si="8"/>
        <v>13.481699808073637</v>
      </c>
      <c r="T105" s="35">
        <v>3</v>
      </c>
      <c r="U105" s="35"/>
      <c r="V105" s="161">
        <v>93</v>
      </c>
      <c r="W105" s="160">
        <f t="shared" si="9"/>
        <v>1.0000000000000009E-2</v>
      </c>
      <c r="X105" s="35">
        <f t="shared" si="10"/>
        <v>0</v>
      </c>
      <c r="Y105" s="35">
        <v>0</v>
      </c>
      <c r="Z105" s="34">
        <v>0</v>
      </c>
      <c r="AA105" s="33">
        <f t="shared" si="11"/>
        <v>0</v>
      </c>
      <c r="AB105" s="150"/>
      <c r="AC105" s="79"/>
      <c r="AD105" s="79"/>
      <c r="AE105" s="1"/>
      <c r="AF105" s="1"/>
      <c r="AG105" s="1"/>
      <c r="AH105" s="1"/>
    </row>
    <row r="106" spans="1:34">
      <c r="A106" s="32">
        <v>94</v>
      </c>
      <c r="B106" s="45"/>
      <c r="C106" s="168">
        <v>204</v>
      </c>
      <c r="D106" s="167">
        <v>204</v>
      </c>
      <c r="E106" s="80">
        <v>0.51</v>
      </c>
      <c r="F106" s="80">
        <v>0.51</v>
      </c>
      <c r="G106" s="80">
        <v>0.51</v>
      </c>
      <c r="H106" s="80">
        <v>0.51</v>
      </c>
      <c r="I106" s="80">
        <v>0.51</v>
      </c>
      <c r="J106" s="80"/>
      <c r="K106" s="166">
        <v>26.21</v>
      </c>
      <c r="L106" s="165">
        <v>26.37</v>
      </c>
      <c r="M106" s="41" t="s">
        <v>20</v>
      </c>
      <c r="N106" s="164"/>
      <c r="O106" s="45" t="s">
        <v>20</v>
      </c>
      <c r="P106" s="23"/>
      <c r="Q106" s="163" t="s">
        <v>19</v>
      </c>
      <c r="R106" s="162">
        <v>36.6</v>
      </c>
      <c r="S106" s="36">
        <f t="shared" si="8"/>
        <v>13.381048837318474</v>
      </c>
      <c r="T106" s="35">
        <v>3</v>
      </c>
      <c r="U106" s="35"/>
      <c r="V106" s="161">
        <v>94</v>
      </c>
      <c r="W106" s="160">
        <f t="shared" si="9"/>
        <v>0</v>
      </c>
      <c r="X106" s="35">
        <f t="shared" si="10"/>
        <v>0</v>
      </c>
      <c r="Y106" s="35">
        <v>0</v>
      </c>
      <c r="Z106" s="34">
        <v>0</v>
      </c>
      <c r="AA106" s="33">
        <f t="shared" si="11"/>
        <v>0</v>
      </c>
      <c r="AB106" s="150"/>
      <c r="AC106" s="79"/>
      <c r="AD106" s="79"/>
      <c r="AE106" s="1"/>
      <c r="AF106" s="1"/>
      <c r="AG106" s="1"/>
      <c r="AH106" s="1"/>
    </row>
    <row r="107" spans="1:34">
      <c r="A107" s="32">
        <v>95</v>
      </c>
      <c r="B107" s="45"/>
      <c r="C107" s="168">
        <v>204</v>
      </c>
      <c r="D107" s="167">
        <v>204</v>
      </c>
      <c r="E107" s="80">
        <v>0.51</v>
      </c>
      <c r="F107" s="80">
        <v>0.51</v>
      </c>
      <c r="G107" s="80">
        <v>0.51</v>
      </c>
      <c r="H107" s="80">
        <v>0.51</v>
      </c>
      <c r="I107" s="80">
        <v>0.51</v>
      </c>
      <c r="J107" s="80"/>
      <c r="K107" s="166">
        <v>26.26</v>
      </c>
      <c r="L107" s="165">
        <v>26.04</v>
      </c>
      <c r="M107" s="41" t="s">
        <v>20</v>
      </c>
      <c r="N107" s="164" t="s">
        <v>20</v>
      </c>
      <c r="O107" s="45"/>
      <c r="P107" s="23" t="s">
        <v>20</v>
      </c>
      <c r="Q107" s="163" t="s">
        <v>21</v>
      </c>
      <c r="R107" s="162">
        <v>36.6</v>
      </c>
      <c r="S107" s="36">
        <f t="shared" si="8"/>
        <v>13.452687339697997</v>
      </c>
      <c r="T107" s="35">
        <v>3</v>
      </c>
      <c r="U107" s="35"/>
      <c r="V107" s="161">
        <v>95</v>
      </c>
      <c r="W107" s="160">
        <f t="shared" si="9"/>
        <v>0</v>
      </c>
      <c r="X107" s="35">
        <f t="shared" si="10"/>
        <v>0</v>
      </c>
      <c r="Y107" s="35">
        <v>0</v>
      </c>
      <c r="Z107" s="34">
        <v>0</v>
      </c>
      <c r="AA107" s="33">
        <f t="shared" si="11"/>
        <v>0</v>
      </c>
      <c r="AB107" s="150"/>
      <c r="AC107" s="79"/>
      <c r="AD107" s="79"/>
      <c r="AE107" s="1"/>
      <c r="AF107" s="1"/>
      <c r="AG107" s="1"/>
      <c r="AH107" s="1"/>
    </row>
    <row r="108" spans="1:34">
      <c r="A108" s="32">
        <v>96</v>
      </c>
      <c r="B108" s="45"/>
      <c r="C108" s="168">
        <v>204</v>
      </c>
      <c r="D108" s="167">
        <v>204</v>
      </c>
      <c r="E108" s="80">
        <v>0.51</v>
      </c>
      <c r="F108" s="80">
        <v>0.51</v>
      </c>
      <c r="G108" s="80">
        <v>0.51</v>
      </c>
      <c r="H108" s="80">
        <v>0.51</v>
      </c>
      <c r="I108" s="80">
        <v>0.51</v>
      </c>
      <c r="J108" s="80"/>
      <c r="K108" s="166">
        <v>26.1</v>
      </c>
      <c r="L108" s="165">
        <v>26.41</v>
      </c>
      <c r="M108" s="41"/>
      <c r="N108" s="164" t="s">
        <v>20</v>
      </c>
      <c r="O108" s="45" t="s">
        <v>20</v>
      </c>
      <c r="P108" s="23"/>
      <c r="Q108" s="163" t="s">
        <v>19</v>
      </c>
      <c r="R108" s="162">
        <v>36.200000000000003</v>
      </c>
      <c r="S108" s="36">
        <f t="shared" ref="S108:S139" si="12">R108/(AVERAGE(C108:D108)*AVERAGE(E108:J108)*AVERAGE(K108:L108)*0.001)</f>
        <v>13.252450916326438</v>
      </c>
      <c r="T108" s="35">
        <v>3</v>
      </c>
      <c r="U108" s="35"/>
      <c r="V108" s="161">
        <v>96</v>
      </c>
      <c r="W108" s="160">
        <f t="shared" ref="W108:W139" si="13">MAX(E108:I108)-MIN(E108:I108)</f>
        <v>0</v>
      </c>
      <c r="X108" s="35">
        <f t="shared" ref="X108:X139" si="14">IF(OR(ABS(E108-$C$6)&gt;($C$6*0.1),ABS(F108-$C$6)&gt;($C$6*0.1),ABS(G108-$C$6)&gt;($C$6*0.1),ABS(H108-$C$6)&gt;($C$6*0.1),ABS(I108-$C$6)&gt;($C$6*0.1)),1,0)</f>
        <v>0</v>
      </c>
      <c r="Y108" s="35">
        <v>0</v>
      </c>
      <c r="Z108" s="34">
        <v>0</v>
      </c>
      <c r="AA108" s="33">
        <f t="shared" ref="AA108:AA139" si="15">IF(OR(M108="Y",N108="Y",O108="Y",P108="Y"),1,0)</f>
        <v>0</v>
      </c>
      <c r="AB108" s="150"/>
      <c r="AC108" s="79"/>
      <c r="AD108" s="79"/>
      <c r="AE108" s="1"/>
      <c r="AF108" s="1"/>
      <c r="AG108" s="1"/>
      <c r="AH108" s="1"/>
    </row>
    <row r="109" spans="1:34">
      <c r="A109" s="32">
        <v>97</v>
      </c>
      <c r="B109" s="45"/>
      <c r="C109" s="168">
        <v>204</v>
      </c>
      <c r="D109" s="167">
        <v>204</v>
      </c>
      <c r="E109" s="80">
        <v>0.51</v>
      </c>
      <c r="F109" s="80">
        <v>0.51</v>
      </c>
      <c r="G109" s="80">
        <v>0.51</v>
      </c>
      <c r="H109" s="80">
        <v>0.51</v>
      </c>
      <c r="I109" s="80">
        <v>0.5</v>
      </c>
      <c r="J109" s="80"/>
      <c r="K109" s="166">
        <v>26.23</v>
      </c>
      <c r="L109" s="165">
        <v>26.41</v>
      </c>
      <c r="M109" s="41" t="s">
        <v>20</v>
      </c>
      <c r="N109" s="164"/>
      <c r="O109" s="45"/>
      <c r="P109" s="23"/>
      <c r="Q109" s="163" t="s">
        <v>19</v>
      </c>
      <c r="R109" s="162">
        <v>36.700000000000003</v>
      </c>
      <c r="S109" s="36">
        <f t="shared" si="12"/>
        <v>13.455080474139729</v>
      </c>
      <c r="T109" s="35">
        <v>3</v>
      </c>
      <c r="U109" s="35"/>
      <c r="V109" s="161">
        <v>97</v>
      </c>
      <c r="W109" s="160">
        <f t="shared" si="13"/>
        <v>1.0000000000000009E-2</v>
      </c>
      <c r="X109" s="35">
        <f t="shared" si="14"/>
        <v>0</v>
      </c>
      <c r="Y109" s="35">
        <v>0</v>
      </c>
      <c r="Z109" s="34">
        <v>0</v>
      </c>
      <c r="AA109" s="33">
        <f t="shared" si="15"/>
        <v>0</v>
      </c>
      <c r="AB109" s="150"/>
      <c r="AC109" s="79"/>
      <c r="AD109" s="79"/>
      <c r="AE109" s="1"/>
      <c r="AF109" s="1"/>
      <c r="AG109" s="1"/>
      <c r="AH109" s="1"/>
    </row>
    <row r="110" spans="1:34">
      <c r="A110" s="32">
        <v>98</v>
      </c>
      <c r="B110" s="45"/>
      <c r="C110" s="168">
        <v>204</v>
      </c>
      <c r="D110" s="167">
        <v>204</v>
      </c>
      <c r="E110" s="80">
        <v>0.5</v>
      </c>
      <c r="F110" s="80">
        <v>0.5</v>
      </c>
      <c r="G110" s="80">
        <v>0.51</v>
      </c>
      <c r="H110" s="80">
        <v>0.51</v>
      </c>
      <c r="I110" s="80">
        <v>0.51</v>
      </c>
      <c r="J110" s="80"/>
      <c r="K110" s="166">
        <v>26.4</v>
      </c>
      <c r="L110" s="165">
        <v>26.21</v>
      </c>
      <c r="M110" s="41"/>
      <c r="N110" s="164" t="s">
        <v>20</v>
      </c>
      <c r="O110" s="45"/>
      <c r="P110" s="23"/>
      <c r="Q110" s="123"/>
      <c r="R110" s="162">
        <v>36.6</v>
      </c>
      <c r="S110" s="36">
        <f t="shared" si="12"/>
        <v>13.479137234454921</v>
      </c>
      <c r="T110" s="35">
        <v>3</v>
      </c>
      <c r="U110" s="35"/>
      <c r="V110" s="161">
        <v>98</v>
      </c>
      <c r="W110" s="160">
        <f t="shared" si="13"/>
        <v>1.0000000000000009E-2</v>
      </c>
      <c r="X110" s="35">
        <f t="shared" si="14"/>
        <v>0</v>
      </c>
      <c r="Y110" s="35">
        <v>0</v>
      </c>
      <c r="Z110" s="34">
        <v>0</v>
      </c>
      <c r="AA110" s="33">
        <f t="shared" si="15"/>
        <v>0</v>
      </c>
      <c r="AB110" s="150"/>
      <c r="AC110" s="79"/>
      <c r="AD110" s="79"/>
      <c r="AE110" s="1"/>
      <c r="AF110" s="1"/>
      <c r="AG110" s="1"/>
      <c r="AH110" s="1"/>
    </row>
    <row r="111" spans="1:34">
      <c r="A111" s="32">
        <v>99</v>
      </c>
      <c r="B111" s="45"/>
      <c r="C111" s="168">
        <v>204</v>
      </c>
      <c r="D111" s="167">
        <v>204</v>
      </c>
      <c r="E111" s="80">
        <v>0.5</v>
      </c>
      <c r="F111" s="80">
        <v>0.5</v>
      </c>
      <c r="G111" s="80">
        <v>0.5</v>
      </c>
      <c r="H111" s="80">
        <v>0.51</v>
      </c>
      <c r="I111" s="80">
        <v>0.5</v>
      </c>
      <c r="J111" s="80"/>
      <c r="K111" s="166">
        <v>26.26</v>
      </c>
      <c r="L111" s="165">
        <v>26.46</v>
      </c>
      <c r="M111" s="41" t="s">
        <v>20</v>
      </c>
      <c r="N111" s="164" t="s">
        <v>20</v>
      </c>
      <c r="O111" s="45"/>
      <c r="P111" s="23" t="s">
        <v>20</v>
      </c>
      <c r="Q111" s="163" t="s">
        <v>19</v>
      </c>
      <c r="R111" s="162">
        <v>36.299999999999997</v>
      </c>
      <c r="S111" s="36">
        <f t="shared" si="12"/>
        <v>13.447059748153684</v>
      </c>
      <c r="T111" s="35">
        <v>3</v>
      </c>
      <c r="U111" s="35"/>
      <c r="V111" s="161">
        <v>99</v>
      </c>
      <c r="W111" s="160">
        <f t="shared" si="13"/>
        <v>1.0000000000000009E-2</v>
      </c>
      <c r="X111" s="35">
        <f t="shared" si="14"/>
        <v>0</v>
      </c>
      <c r="Y111" s="35">
        <v>0</v>
      </c>
      <c r="Z111" s="34">
        <v>0</v>
      </c>
      <c r="AA111" s="33">
        <f t="shared" si="15"/>
        <v>0</v>
      </c>
      <c r="AB111" s="150"/>
      <c r="AC111" s="79"/>
      <c r="AD111" s="79"/>
      <c r="AE111" s="1"/>
      <c r="AF111" s="1"/>
      <c r="AG111" s="1"/>
      <c r="AH111" s="1"/>
    </row>
    <row r="112" spans="1:34">
      <c r="A112" s="32">
        <v>100</v>
      </c>
      <c r="B112" s="45"/>
      <c r="C112" s="168">
        <v>204</v>
      </c>
      <c r="D112" s="167">
        <v>204</v>
      </c>
      <c r="E112" s="80">
        <v>0.48</v>
      </c>
      <c r="F112" s="80">
        <v>0.48</v>
      </c>
      <c r="G112" s="80">
        <v>0.49</v>
      </c>
      <c r="H112" s="80">
        <v>0.49</v>
      </c>
      <c r="I112" s="80">
        <v>0.49</v>
      </c>
      <c r="J112" s="80"/>
      <c r="K112" s="166">
        <v>26.47</v>
      </c>
      <c r="L112" s="165">
        <v>26.3</v>
      </c>
      <c r="M112" s="41"/>
      <c r="N112" s="164" t="s">
        <v>20</v>
      </c>
      <c r="O112" s="45" t="s">
        <v>20</v>
      </c>
      <c r="P112" s="23" t="s">
        <v>20</v>
      </c>
      <c r="Q112" s="123"/>
      <c r="R112" s="162">
        <v>35.299999999999997</v>
      </c>
      <c r="S112" s="36">
        <f t="shared" si="12"/>
        <v>13.494325143141914</v>
      </c>
      <c r="T112" s="35">
        <v>3</v>
      </c>
      <c r="U112" s="35"/>
      <c r="V112" s="161">
        <v>100</v>
      </c>
      <c r="W112" s="160">
        <f t="shared" si="13"/>
        <v>1.0000000000000009E-2</v>
      </c>
      <c r="X112" s="35">
        <f t="shared" si="14"/>
        <v>0</v>
      </c>
      <c r="Y112" s="35">
        <v>0</v>
      </c>
      <c r="Z112" s="34">
        <v>0</v>
      </c>
      <c r="AA112" s="33">
        <f t="shared" si="15"/>
        <v>0</v>
      </c>
      <c r="AB112" s="150"/>
      <c r="AC112" s="79"/>
      <c r="AD112" s="79"/>
      <c r="AE112" s="1"/>
      <c r="AF112" s="1"/>
      <c r="AG112" s="1"/>
      <c r="AH112" s="1"/>
    </row>
    <row r="113" spans="1:34">
      <c r="A113" s="32">
        <v>101</v>
      </c>
      <c r="B113" s="45"/>
      <c r="C113" s="168">
        <v>204</v>
      </c>
      <c r="D113" s="167">
        <v>204</v>
      </c>
      <c r="E113" s="80">
        <v>0.51</v>
      </c>
      <c r="F113" s="80">
        <v>0.51</v>
      </c>
      <c r="G113" s="80">
        <v>0.51</v>
      </c>
      <c r="H113" s="80">
        <v>0.52</v>
      </c>
      <c r="I113" s="80">
        <v>0.51</v>
      </c>
      <c r="J113" s="80"/>
      <c r="K113" s="166">
        <v>26.35</v>
      </c>
      <c r="L113" s="165">
        <v>26.3</v>
      </c>
      <c r="M113" s="41" t="s">
        <v>20</v>
      </c>
      <c r="N113" s="164" t="s">
        <v>20</v>
      </c>
      <c r="O113" s="45" t="s">
        <v>22</v>
      </c>
      <c r="P113" s="23" t="s">
        <v>20</v>
      </c>
      <c r="Q113" s="163" t="s">
        <v>21</v>
      </c>
      <c r="R113" s="162">
        <v>36.6</v>
      </c>
      <c r="S113" s="36">
        <f t="shared" si="12"/>
        <v>13.311058041450199</v>
      </c>
      <c r="T113" s="35">
        <v>3</v>
      </c>
      <c r="U113" s="35"/>
      <c r="V113" s="161">
        <v>101</v>
      </c>
      <c r="W113" s="160">
        <f t="shared" si="13"/>
        <v>1.0000000000000009E-2</v>
      </c>
      <c r="X113" s="35">
        <f t="shared" si="14"/>
        <v>0</v>
      </c>
      <c r="Y113" s="35">
        <v>0</v>
      </c>
      <c r="Z113" s="34">
        <v>0</v>
      </c>
      <c r="AA113" s="33">
        <f t="shared" si="15"/>
        <v>1</v>
      </c>
      <c r="AB113" s="150"/>
      <c r="AC113" s="79"/>
      <c r="AD113" s="79"/>
      <c r="AE113" s="1"/>
      <c r="AF113" s="1"/>
      <c r="AG113" s="1"/>
      <c r="AH113" s="1"/>
    </row>
    <row r="114" spans="1:34">
      <c r="A114" s="32">
        <v>102</v>
      </c>
      <c r="B114" s="45"/>
      <c r="C114" s="168">
        <v>204</v>
      </c>
      <c r="D114" s="167">
        <v>204</v>
      </c>
      <c r="E114" s="80">
        <v>0.49</v>
      </c>
      <c r="F114" s="80">
        <v>0.49</v>
      </c>
      <c r="G114" s="80">
        <v>0.49</v>
      </c>
      <c r="H114" s="80">
        <v>0.48</v>
      </c>
      <c r="I114" s="80">
        <v>0.48</v>
      </c>
      <c r="J114" s="80"/>
      <c r="K114" s="166">
        <v>26.26</v>
      </c>
      <c r="L114" s="165">
        <v>26.47</v>
      </c>
      <c r="M114" s="41" t="s">
        <v>22</v>
      </c>
      <c r="N114" s="164"/>
      <c r="O114" s="45"/>
      <c r="P114" s="23" t="s">
        <v>20</v>
      </c>
      <c r="Q114" s="123"/>
      <c r="R114" s="162">
        <v>35</v>
      </c>
      <c r="S114" s="36">
        <f t="shared" si="12"/>
        <v>13.389792041839074</v>
      </c>
      <c r="T114" s="35">
        <v>3</v>
      </c>
      <c r="U114" s="35"/>
      <c r="V114" s="161">
        <v>102</v>
      </c>
      <c r="W114" s="160">
        <f t="shared" si="13"/>
        <v>1.0000000000000009E-2</v>
      </c>
      <c r="X114" s="35">
        <f t="shared" si="14"/>
        <v>0</v>
      </c>
      <c r="Y114" s="35">
        <v>0</v>
      </c>
      <c r="Z114" s="34">
        <v>0</v>
      </c>
      <c r="AA114" s="33">
        <f t="shared" si="15"/>
        <v>1</v>
      </c>
      <c r="AB114" s="150"/>
      <c r="AC114" s="79"/>
      <c r="AD114" s="79"/>
      <c r="AE114" s="1"/>
      <c r="AF114" s="1"/>
      <c r="AG114" s="1"/>
      <c r="AH114" s="1"/>
    </row>
    <row r="115" spans="1:34">
      <c r="A115" s="32">
        <v>103</v>
      </c>
      <c r="B115" s="45"/>
      <c r="C115" s="168">
        <v>204</v>
      </c>
      <c r="D115" s="167">
        <v>204</v>
      </c>
      <c r="E115" s="80">
        <v>0.5</v>
      </c>
      <c r="F115" s="80">
        <v>0.5</v>
      </c>
      <c r="G115" s="80">
        <v>0.5</v>
      </c>
      <c r="H115" s="80">
        <v>0.51</v>
      </c>
      <c r="I115" s="80">
        <v>0.5</v>
      </c>
      <c r="J115" s="80"/>
      <c r="K115" s="166">
        <v>26.28</v>
      </c>
      <c r="L115" s="165">
        <v>26.34</v>
      </c>
      <c r="M115" s="41" t="s">
        <v>22</v>
      </c>
      <c r="N115" s="164" t="s">
        <v>20</v>
      </c>
      <c r="O115" s="45"/>
      <c r="P115" s="23" t="s">
        <v>20</v>
      </c>
      <c r="Q115" s="163" t="s">
        <v>19</v>
      </c>
      <c r="R115" s="162">
        <v>36.6</v>
      </c>
      <c r="S115" s="36">
        <f t="shared" si="12"/>
        <v>13.583958707615933</v>
      </c>
      <c r="T115" s="35">
        <v>3</v>
      </c>
      <c r="U115" s="35"/>
      <c r="V115" s="161">
        <v>103</v>
      </c>
      <c r="W115" s="160">
        <f t="shared" si="13"/>
        <v>1.0000000000000009E-2</v>
      </c>
      <c r="X115" s="35">
        <f t="shared" si="14"/>
        <v>0</v>
      </c>
      <c r="Y115" s="35">
        <v>0</v>
      </c>
      <c r="Z115" s="34">
        <v>0</v>
      </c>
      <c r="AA115" s="33">
        <f t="shared" si="15"/>
        <v>1</v>
      </c>
      <c r="AB115" s="150"/>
      <c r="AC115" s="79"/>
      <c r="AD115" s="79"/>
      <c r="AE115" s="1"/>
      <c r="AF115" s="1"/>
      <c r="AG115" s="1"/>
      <c r="AH115" s="1"/>
    </row>
    <row r="116" spans="1:34">
      <c r="A116" s="32">
        <v>104</v>
      </c>
      <c r="B116" s="45"/>
      <c r="C116" s="168">
        <v>204</v>
      </c>
      <c r="D116" s="167">
        <v>204</v>
      </c>
      <c r="E116" s="80">
        <v>0.5</v>
      </c>
      <c r="F116" s="80">
        <v>0.5</v>
      </c>
      <c r="G116" s="80">
        <v>0.5</v>
      </c>
      <c r="H116" s="80">
        <v>0.51</v>
      </c>
      <c r="I116" s="80">
        <v>0.5</v>
      </c>
      <c r="J116" s="80"/>
      <c r="K116" s="166">
        <v>26.08</v>
      </c>
      <c r="L116" s="165">
        <v>26.09</v>
      </c>
      <c r="M116" s="41" t="s">
        <v>20</v>
      </c>
      <c r="N116" s="164" t="s">
        <v>20</v>
      </c>
      <c r="O116" s="45"/>
      <c r="P116" s="23"/>
      <c r="Q116" s="163" t="s">
        <v>21</v>
      </c>
      <c r="R116" s="162">
        <v>36</v>
      </c>
      <c r="S116" s="36">
        <f t="shared" si="12"/>
        <v>13.476520464837533</v>
      </c>
      <c r="T116" s="35">
        <v>3</v>
      </c>
      <c r="U116" s="35"/>
      <c r="V116" s="161">
        <v>104</v>
      </c>
      <c r="W116" s="160">
        <f t="shared" si="13"/>
        <v>1.0000000000000009E-2</v>
      </c>
      <c r="X116" s="35">
        <f t="shared" si="14"/>
        <v>0</v>
      </c>
      <c r="Y116" s="35">
        <v>0</v>
      </c>
      <c r="Z116" s="34">
        <v>0</v>
      </c>
      <c r="AA116" s="33">
        <f t="shared" si="15"/>
        <v>0</v>
      </c>
      <c r="AB116" s="150"/>
      <c r="AC116" s="79"/>
      <c r="AD116" s="79"/>
      <c r="AE116" s="1"/>
      <c r="AF116" s="1"/>
      <c r="AG116" s="1"/>
      <c r="AH116" s="1"/>
    </row>
    <row r="117" spans="1:34">
      <c r="A117" s="32">
        <v>105</v>
      </c>
      <c r="B117" s="45"/>
      <c r="C117" s="168">
        <v>204</v>
      </c>
      <c r="D117" s="167">
        <v>204</v>
      </c>
      <c r="E117" s="80">
        <v>0.5</v>
      </c>
      <c r="F117" s="80">
        <v>0.5</v>
      </c>
      <c r="G117" s="80">
        <v>0.5</v>
      </c>
      <c r="H117" s="80">
        <v>0.5</v>
      </c>
      <c r="I117" s="80">
        <v>0.5</v>
      </c>
      <c r="J117" s="80"/>
      <c r="K117" s="166">
        <v>26.23</v>
      </c>
      <c r="L117" s="165">
        <v>26.13</v>
      </c>
      <c r="M117" s="41" t="s">
        <v>22</v>
      </c>
      <c r="N117" s="164"/>
      <c r="O117" s="45"/>
      <c r="P117" s="23" t="s">
        <v>20</v>
      </c>
      <c r="Q117" s="163" t="s">
        <v>21</v>
      </c>
      <c r="R117" s="162">
        <v>35.9</v>
      </c>
      <c r="S117" s="36">
        <f t="shared" si="12"/>
        <v>13.443880225887145</v>
      </c>
      <c r="T117" s="35">
        <v>3</v>
      </c>
      <c r="U117" s="35"/>
      <c r="V117" s="161">
        <v>105</v>
      </c>
      <c r="W117" s="160">
        <f t="shared" si="13"/>
        <v>0</v>
      </c>
      <c r="X117" s="35">
        <f t="shared" si="14"/>
        <v>0</v>
      </c>
      <c r="Y117" s="35">
        <v>0</v>
      </c>
      <c r="Z117" s="34">
        <v>0</v>
      </c>
      <c r="AA117" s="33">
        <f t="shared" si="15"/>
        <v>1</v>
      </c>
      <c r="AB117" s="150"/>
      <c r="AC117" s="79"/>
      <c r="AD117" s="79"/>
      <c r="AE117" s="1"/>
      <c r="AF117" s="1"/>
      <c r="AG117" s="1"/>
      <c r="AH117" s="1"/>
    </row>
    <row r="118" spans="1:34">
      <c r="A118" s="32">
        <v>106</v>
      </c>
      <c r="B118" s="45"/>
      <c r="C118" s="168">
        <v>204</v>
      </c>
      <c r="D118" s="167">
        <v>204</v>
      </c>
      <c r="E118" s="80">
        <v>0.5</v>
      </c>
      <c r="F118" s="80">
        <v>0.5</v>
      </c>
      <c r="G118" s="80">
        <v>0.5</v>
      </c>
      <c r="H118" s="80">
        <v>0.51</v>
      </c>
      <c r="I118" s="80">
        <v>0.5</v>
      </c>
      <c r="J118" s="80"/>
      <c r="K118" s="166">
        <v>26.25</v>
      </c>
      <c r="L118" s="165">
        <v>26.12</v>
      </c>
      <c r="M118" s="41"/>
      <c r="N118" s="164"/>
      <c r="O118" s="45"/>
      <c r="P118" s="23" t="s">
        <v>20</v>
      </c>
      <c r="Q118" s="163" t="s">
        <v>21</v>
      </c>
      <c r="R118" s="162">
        <v>36.6</v>
      </c>
      <c r="S118" s="36">
        <f t="shared" si="12"/>
        <v>13.648804796539054</v>
      </c>
      <c r="T118" s="35">
        <v>3</v>
      </c>
      <c r="U118" s="35"/>
      <c r="V118" s="161">
        <v>106</v>
      </c>
      <c r="W118" s="160">
        <f t="shared" si="13"/>
        <v>1.0000000000000009E-2</v>
      </c>
      <c r="X118" s="35">
        <f t="shared" si="14"/>
        <v>0</v>
      </c>
      <c r="Y118" s="35">
        <v>0</v>
      </c>
      <c r="Z118" s="34">
        <v>0</v>
      </c>
      <c r="AA118" s="33">
        <f t="shared" si="15"/>
        <v>0</v>
      </c>
      <c r="AB118" s="150"/>
      <c r="AC118" s="79"/>
      <c r="AD118" s="79"/>
      <c r="AE118" s="1"/>
      <c r="AF118" s="1"/>
      <c r="AG118" s="1"/>
      <c r="AH118" s="1"/>
    </row>
    <row r="119" spans="1:34">
      <c r="A119" s="32">
        <v>107</v>
      </c>
      <c r="B119" s="45"/>
      <c r="C119" s="168">
        <v>204</v>
      </c>
      <c r="D119" s="167">
        <v>204</v>
      </c>
      <c r="E119" s="80">
        <v>0.51</v>
      </c>
      <c r="F119" s="80">
        <v>0.51</v>
      </c>
      <c r="G119" s="80">
        <v>0.51</v>
      </c>
      <c r="H119" s="80">
        <v>0.51</v>
      </c>
      <c r="I119" s="80">
        <v>0.51</v>
      </c>
      <c r="J119" s="80"/>
      <c r="K119" s="166">
        <v>26.16</v>
      </c>
      <c r="L119" s="165">
        <v>26.08</v>
      </c>
      <c r="M119" s="41"/>
      <c r="N119" s="164"/>
      <c r="O119" s="45" t="s">
        <v>20</v>
      </c>
      <c r="P119" s="23"/>
      <c r="Q119" s="163" t="s">
        <v>21</v>
      </c>
      <c r="R119" s="162">
        <v>36.4</v>
      </c>
      <c r="S119" s="36">
        <f t="shared" si="12"/>
        <v>13.394541974373151</v>
      </c>
      <c r="T119" s="35">
        <v>3</v>
      </c>
      <c r="U119" s="35"/>
      <c r="V119" s="161">
        <v>107</v>
      </c>
      <c r="W119" s="160">
        <f t="shared" si="13"/>
        <v>0</v>
      </c>
      <c r="X119" s="35">
        <f t="shared" si="14"/>
        <v>0</v>
      </c>
      <c r="Y119" s="35">
        <v>0</v>
      </c>
      <c r="Z119" s="34">
        <v>0</v>
      </c>
      <c r="AA119" s="33">
        <f t="shared" si="15"/>
        <v>0</v>
      </c>
      <c r="AB119" s="150"/>
      <c r="AC119" s="79"/>
      <c r="AD119" s="79"/>
      <c r="AE119" s="1"/>
      <c r="AF119" s="1"/>
      <c r="AG119" s="1"/>
      <c r="AH119" s="1"/>
    </row>
    <row r="120" spans="1:34">
      <c r="A120" s="32">
        <v>108</v>
      </c>
      <c r="B120" s="45"/>
      <c r="C120" s="168">
        <v>204</v>
      </c>
      <c r="D120" s="167">
        <v>204</v>
      </c>
      <c r="E120" s="80">
        <v>0.49</v>
      </c>
      <c r="F120" s="80">
        <v>0.49</v>
      </c>
      <c r="G120" s="80">
        <v>0.49</v>
      </c>
      <c r="H120" s="80">
        <v>0.5</v>
      </c>
      <c r="I120" s="80">
        <v>0.5</v>
      </c>
      <c r="J120" s="80"/>
      <c r="K120" s="166">
        <v>26.26</v>
      </c>
      <c r="L120" s="165">
        <v>26.33</v>
      </c>
      <c r="M120" s="41"/>
      <c r="N120" s="164" t="s">
        <v>20</v>
      </c>
      <c r="O120" s="45" t="s">
        <v>20</v>
      </c>
      <c r="P120" s="23"/>
      <c r="Q120" s="123"/>
      <c r="R120" s="162">
        <v>36.1</v>
      </c>
      <c r="S120" s="36">
        <f t="shared" si="12"/>
        <v>13.623130297067416</v>
      </c>
      <c r="T120" s="35">
        <v>3</v>
      </c>
      <c r="U120" s="35"/>
      <c r="V120" s="161">
        <v>108</v>
      </c>
      <c r="W120" s="160">
        <f t="shared" si="13"/>
        <v>1.0000000000000009E-2</v>
      </c>
      <c r="X120" s="35">
        <f t="shared" si="14"/>
        <v>0</v>
      </c>
      <c r="Y120" s="35">
        <v>0</v>
      </c>
      <c r="Z120" s="34">
        <v>0</v>
      </c>
      <c r="AA120" s="33">
        <f t="shared" si="15"/>
        <v>0</v>
      </c>
      <c r="AB120" s="150"/>
      <c r="AC120" s="79"/>
      <c r="AD120" s="79"/>
      <c r="AE120" s="1"/>
      <c r="AF120" s="1"/>
      <c r="AG120" s="1"/>
      <c r="AH120" s="1"/>
    </row>
    <row r="121" spans="1:34">
      <c r="A121" s="32">
        <v>109</v>
      </c>
      <c r="B121" s="45"/>
      <c r="C121" s="168">
        <v>204</v>
      </c>
      <c r="D121" s="167">
        <v>204</v>
      </c>
      <c r="E121" s="80">
        <v>0.5</v>
      </c>
      <c r="F121" s="80">
        <v>0.5</v>
      </c>
      <c r="G121" s="80">
        <v>0.5</v>
      </c>
      <c r="H121" s="80">
        <v>0.5</v>
      </c>
      <c r="I121" s="80">
        <v>0.5</v>
      </c>
      <c r="J121" s="80"/>
      <c r="K121" s="166">
        <v>26.22</v>
      </c>
      <c r="L121" s="165">
        <v>26.44</v>
      </c>
      <c r="M121" s="41"/>
      <c r="N121" s="164"/>
      <c r="O121" s="45" t="s">
        <v>20</v>
      </c>
      <c r="P121" s="23"/>
      <c r="Q121" s="163" t="s">
        <v>21</v>
      </c>
      <c r="R121" s="162">
        <v>35.4</v>
      </c>
      <c r="S121" s="36">
        <f t="shared" si="12"/>
        <v>13.181117490672683</v>
      </c>
      <c r="T121" s="35">
        <v>3</v>
      </c>
      <c r="U121" s="35"/>
      <c r="V121" s="161">
        <v>109</v>
      </c>
      <c r="W121" s="160">
        <f t="shared" si="13"/>
        <v>0</v>
      </c>
      <c r="X121" s="35">
        <f t="shared" si="14"/>
        <v>0</v>
      </c>
      <c r="Y121" s="35">
        <v>0</v>
      </c>
      <c r="Z121" s="34">
        <v>0</v>
      </c>
      <c r="AA121" s="33">
        <f t="shared" si="15"/>
        <v>0</v>
      </c>
      <c r="AB121" s="150"/>
      <c r="AC121" s="79"/>
      <c r="AD121" s="79"/>
      <c r="AE121" s="1"/>
      <c r="AF121" s="1"/>
      <c r="AG121" s="1"/>
      <c r="AH121" s="1"/>
    </row>
    <row r="122" spans="1:34">
      <c r="A122" s="32">
        <v>110</v>
      </c>
      <c r="B122" s="45"/>
      <c r="C122" s="168">
        <v>204</v>
      </c>
      <c r="D122" s="167">
        <v>204</v>
      </c>
      <c r="E122" s="80">
        <v>0.51</v>
      </c>
      <c r="F122" s="80">
        <v>0.5</v>
      </c>
      <c r="G122" s="80">
        <v>0.5</v>
      </c>
      <c r="H122" s="80">
        <v>0.5</v>
      </c>
      <c r="I122" s="80">
        <v>0.51</v>
      </c>
      <c r="J122" s="80"/>
      <c r="K122" s="166">
        <v>26.23</v>
      </c>
      <c r="L122" s="165">
        <v>26.26</v>
      </c>
      <c r="M122" s="41"/>
      <c r="N122" s="164"/>
      <c r="O122" s="45" t="s">
        <v>20</v>
      </c>
      <c r="P122" s="23" t="s">
        <v>20</v>
      </c>
      <c r="Q122" s="163" t="s">
        <v>21</v>
      </c>
      <c r="R122" s="162">
        <v>36.299999999999997</v>
      </c>
      <c r="S122" s="36">
        <f t="shared" si="12"/>
        <v>13.452386733571947</v>
      </c>
      <c r="T122" s="35">
        <v>3</v>
      </c>
      <c r="U122" s="35"/>
      <c r="V122" s="161">
        <v>110</v>
      </c>
      <c r="W122" s="160">
        <f t="shared" si="13"/>
        <v>1.0000000000000009E-2</v>
      </c>
      <c r="X122" s="35">
        <f t="shared" si="14"/>
        <v>0</v>
      </c>
      <c r="Y122" s="35">
        <v>0</v>
      </c>
      <c r="Z122" s="34">
        <v>0</v>
      </c>
      <c r="AA122" s="33">
        <f t="shared" si="15"/>
        <v>0</v>
      </c>
      <c r="AB122" s="150"/>
      <c r="AC122" s="79"/>
      <c r="AD122" s="79"/>
      <c r="AE122" s="1"/>
      <c r="AF122" s="1"/>
      <c r="AG122" s="1"/>
      <c r="AH122" s="1"/>
    </row>
    <row r="123" spans="1:34">
      <c r="A123" s="32">
        <v>111</v>
      </c>
      <c r="B123" s="45"/>
      <c r="C123" s="168">
        <v>204</v>
      </c>
      <c r="D123" s="167">
        <v>204</v>
      </c>
      <c r="E123" s="80">
        <v>0.51</v>
      </c>
      <c r="F123" s="80">
        <v>0.5</v>
      </c>
      <c r="G123" s="80">
        <v>0.5</v>
      </c>
      <c r="H123" s="80">
        <v>0.5</v>
      </c>
      <c r="I123" s="80">
        <v>0.51</v>
      </c>
      <c r="J123" s="80"/>
      <c r="K123" s="166">
        <v>26.38</v>
      </c>
      <c r="L123" s="165">
        <v>26.25</v>
      </c>
      <c r="M123" s="41"/>
      <c r="N123" s="164" t="s">
        <v>20</v>
      </c>
      <c r="O123" s="45" t="s">
        <v>20</v>
      </c>
      <c r="P123" s="23" t="s">
        <v>20</v>
      </c>
      <c r="Q123" s="123"/>
      <c r="R123" s="162">
        <v>36.700000000000003</v>
      </c>
      <c r="S123" s="36">
        <f t="shared" si="12"/>
        <v>13.564443659111209</v>
      </c>
      <c r="T123" s="35">
        <v>3</v>
      </c>
      <c r="U123" s="35"/>
      <c r="V123" s="161">
        <v>111</v>
      </c>
      <c r="W123" s="160">
        <f t="shared" si="13"/>
        <v>1.0000000000000009E-2</v>
      </c>
      <c r="X123" s="35">
        <f t="shared" si="14"/>
        <v>0</v>
      </c>
      <c r="Y123" s="35">
        <v>0</v>
      </c>
      <c r="Z123" s="34">
        <v>0</v>
      </c>
      <c r="AA123" s="33">
        <f t="shared" si="15"/>
        <v>0</v>
      </c>
      <c r="AB123" s="150"/>
      <c r="AC123" s="79"/>
      <c r="AD123" s="79"/>
      <c r="AE123" s="1"/>
      <c r="AF123" s="1"/>
      <c r="AG123" s="1"/>
      <c r="AH123" s="1"/>
    </row>
    <row r="124" spans="1:34">
      <c r="A124" s="32">
        <v>112</v>
      </c>
      <c r="B124" s="45"/>
      <c r="C124" s="168">
        <v>204</v>
      </c>
      <c r="D124" s="167">
        <v>204</v>
      </c>
      <c r="E124" s="80">
        <v>0.49</v>
      </c>
      <c r="F124" s="80">
        <v>0.49</v>
      </c>
      <c r="G124" s="80">
        <v>0.49</v>
      </c>
      <c r="H124" s="80">
        <v>0.49</v>
      </c>
      <c r="I124" s="80">
        <v>0.5</v>
      </c>
      <c r="J124" s="80"/>
      <c r="K124" s="166">
        <v>26.35</v>
      </c>
      <c r="L124" s="165">
        <v>26.26</v>
      </c>
      <c r="M124" s="41"/>
      <c r="N124" s="164" t="s">
        <v>20</v>
      </c>
      <c r="O124" s="45" t="s">
        <v>20</v>
      </c>
      <c r="P124" s="23" t="s">
        <v>20</v>
      </c>
      <c r="Q124" s="123"/>
      <c r="R124" s="162">
        <v>35.5</v>
      </c>
      <c r="S124" s="36">
        <f t="shared" si="12"/>
        <v>13.446051698349201</v>
      </c>
      <c r="T124" s="35">
        <v>3</v>
      </c>
      <c r="U124" s="35"/>
      <c r="V124" s="161">
        <v>112</v>
      </c>
      <c r="W124" s="160">
        <f t="shared" si="13"/>
        <v>1.0000000000000009E-2</v>
      </c>
      <c r="X124" s="35">
        <f t="shared" si="14"/>
        <v>0</v>
      </c>
      <c r="Y124" s="35">
        <v>0</v>
      </c>
      <c r="Z124" s="34">
        <v>0</v>
      </c>
      <c r="AA124" s="33">
        <f t="shared" si="15"/>
        <v>0</v>
      </c>
      <c r="AB124" s="150"/>
      <c r="AC124" s="79"/>
      <c r="AD124" s="79"/>
      <c r="AE124" s="1"/>
      <c r="AF124" s="1"/>
      <c r="AG124" s="1"/>
      <c r="AH124" s="1"/>
    </row>
    <row r="125" spans="1:34">
      <c r="A125" s="32">
        <v>113</v>
      </c>
      <c r="B125" s="45"/>
      <c r="C125" s="168">
        <v>204</v>
      </c>
      <c r="D125" s="167">
        <v>204</v>
      </c>
      <c r="E125" s="80">
        <v>0.5</v>
      </c>
      <c r="F125" s="80">
        <v>0.5</v>
      </c>
      <c r="G125" s="80">
        <v>0.5</v>
      </c>
      <c r="H125" s="80">
        <v>0.5</v>
      </c>
      <c r="I125" s="80">
        <v>0.5</v>
      </c>
      <c r="J125" s="80"/>
      <c r="K125" s="166">
        <v>26.2</v>
      </c>
      <c r="L125" s="165">
        <v>26.35</v>
      </c>
      <c r="M125" s="41" t="s">
        <v>22</v>
      </c>
      <c r="N125" s="164"/>
      <c r="O125" s="45"/>
      <c r="P125" s="23"/>
      <c r="Q125" s="123" t="s">
        <v>50</v>
      </c>
      <c r="R125" s="162">
        <v>36.299999999999997</v>
      </c>
      <c r="S125" s="36">
        <f t="shared" si="12"/>
        <v>13.544523423070466</v>
      </c>
      <c r="T125" s="35">
        <v>3</v>
      </c>
      <c r="U125" s="35"/>
      <c r="V125" s="161">
        <v>113</v>
      </c>
      <c r="W125" s="160">
        <f t="shared" si="13"/>
        <v>0</v>
      </c>
      <c r="X125" s="35">
        <f t="shared" si="14"/>
        <v>0</v>
      </c>
      <c r="Y125" s="35">
        <v>0</v>
      </c>
      <c r="Z125" s="34">
        <v>0</v>
      </c>
      <c r="AA125" s="33">
        <f t="shared" si="15"/>
        <v>1</v>
      </c>
      <c r="AB125" s="150"/>
      <c r="AC125" s="79"/>
      <c r="AD125" s="79"/>
      <c r="AE125" s="1"/>
      <c r="AF125" s="1"/>
      <c r="AG125" s="1"/>
      <c r="AH125" s="1"/>
    </row>
    <row r="126" spans="1:34">
      <c r="A126" s="32">
        <v>114</v>
      </c>
      <c r="B126" s="45"/>
      <c r="C126" s="168">
        <v>204</v>
      </c>
      <c r="D126" s="167">
        <v>204</v>
      </c>
      <c r="E126" s="80">
        <v>0.49</v>
      </c>
      <c r="F126" s="80">
        <v>0.49</v>
      </c>
      <c r="G126" s="80">
        <v>0.49</v>
      </c>
      <c r="H126" s="80">
        <v>0.49</v>
      </c>
      <c r="I126" s="80">
        <v>0.49</v>
      </c>
      <c r="J126" s="80"/>
      <c r="K126" s="166">
        <v>26.22</v>
      </c>
      <c r="L126" s="165">
        <v>26.33</v>
      </c>
      <c r="M126" s="41" t="s">
        <v>22</v>
      </c>
      <c r="N126" s="164"/>
      <c r="O126" s="45" t="s">
        <v>20</v>
      </c>
      <c r="P126" s="23"/>
      <c r="Q126" s="123" t="s">
        <v>50</v>
      </c>
      <c r="R126" s="162">
        <v>35.1</v>
      </c>
      <c r="S126" s="36">
        <f t="shared" si="12"/>
        <v>13.364051614937127</v>
      </c>
      <c r="T126" s="35">
        <v>3</v>
      </c>
      <c r="U126" s="35"/>
      <c r="V126" s="161">
        <v>114</v>
      </c>
      <c r="W126" s="160">
        <f t="shared" si="13"/>
        <v>0</v>
      </c>
      <c r="X126" s="35">
        <f t="shared" si="14"/>
        <v>0</v>
      </c>
      <c r="Y126" s="35">
        <v>0</v>
      </c>
      <c r="Z126" s="34">
        <v>0</v>
      </c>
      <c r="AA126" s="33">
        <f t="shared" si="15"/>
        <v>1</v>
      </c>
      <c r="AB126" s="150"/>
      <c r="AC126" s="79"/>
      <c r="AD126" s="79"/>
      <c r="AE126" s="1"/>
      <c r="AF126" s="1"/>
      <c r="AG126" s="1"/>
      <c r="AH126" s="1"/>
    </row>
    <row r="127" spans="1:34">
      <c r="A127" s="32">
        <v>115</v>
      </c>
      <c r="B127" s="45"/>
      <c r="C127" s="168">
        <v>204</v>
      </c>
      <c r="D127" s="167">
        <v>204</v>
      </c>
      <c r="E127" s="80">
        <v>0.49</v>
      </c>
      <c r="F127" s="80">
        <v>0.49</v>
      </c>
      <c r="G127" s="80">
        <v>0.5</v>
      </c>
      <c r="H127" s="80">
        <v>0.5</v>
      </c>
      <c r="I127" s="80">
        <v>0.49</v>
      </c>
      <c r="J127" s="80"/>
      <c r="K127" s="166">
        <v>26.12</v>
      </c>
      <c r="L127" s="165">
        <v>26.14</v>
      </c>
      <c r="M127" s="41" t="s">
        <v>20</v>
      </c>
      <c r="N127" s="164"/>
      <c r="O127" s="45"/>
      <c r="P127" s="23" t="s">
        <v>20</v>
      </c>
      <c r="Q127" s="163" t="s">
        <v>21</v>
      </c>
      <c r="R127" s="162">
        <v>34.9</v>
      </c>
      <c r="S127" s="36">
        <f t="shared" si="12"/>
        <v>13.253448684059384</v>
      </c>
      <c r="T127" s="35">
        <v>3</v>
      </c>
      <c r="U127" s="35"/>
      <c r="V127" s="161">
        <v>115</v>
      </c>
      <c r="W127" s="160">
        <f t="shared" si="13"/>
        <v>1.0000000000000009E-2</v>
      </c>
      <c r="X127" s="35">
        <f t="shared" si="14"/>
        <v>0</v>
      </c>
      <c r="Y127" s="35">
        <v>0</v>
      </c>
      <c r="Z127" s="34">
        <v>0</v>
      </c>
      <c r="AA127" s="33">
        <f t="shared" si="15"/>
        <v>0</v>
      </c>
      <c r="AB127" s="150"/>
      <c r="AC127" s="79"/>
      <c r="AD127" s="79"/>
      <c r="AE127" s="1"/>
      <c r="AF127" s="1"/>
      <c r="AG127" s="1"/>
      <c r="AH127" s="1"/>
    </row>
    <row r="128" spans="1:34">
      <c r="A128" s="32">
        <v>116</v>
      </c>
      <c r="B128" s="45"/>
      <c r="C128" s="168">
        <v>204</v>
      </c>
      <c r="D128" s="167">
        <v>204</v>
      </c>
      <c r="E128" s="80">
        <v>0.5</v>
      </c>
      <c r="F128" s="80">
        <v>0.5</v>
      </c>
      <c r="G128" s="80">
        <v>0.5</v>
      </c>
      <c r="H128" s="80">
        <v>0.5</v>
      </c>
      <c r="I128" s="80">
        <v>0.5</v>
      </c>
      <c r="J128" s="80"/>
      <c r="K128" s="166">
        <v>26.03</v>
      </c>
      <c r="L128" s="165">
        <v>26.18</v>
      </c>
      <c r="M128" s="41"/>
      <c r="N128" s="164" t="s">
        <v>22</v>
      </c>
      <c r="O128" s="45"/>
      <c r="P128" s="23"/>
      <c r="Q128" s="123"/>
      <c r="R128" s="162">
        <v>36</v>
      </c>
      <c r="S128" s="36">
        <f t="shared" si="12"/>
        <v>13.520060389603072</v>
      </c>
      <c r="T128" s="35">
        <v>3</v>
      </c>
      <c r="U128" s="35"/>
      <c r="V128" s="161">
        <v>116</v>
      </c>
      <c r="W128" s="160">
        <f t="shared" si="13"/>
        <v>0</v>
      </c>
      <c r="X128" s="35">
        <f t="shared" si="14"/>
        <v>0</v>
      </c>
      <c r="Y128" s="35">
        <v>0</v>
      </c>
      <c r="Z128" s="34">
        <v>0</v>
      </c>
      <c r="AA128" s="33">
        <f t="shared" si="15"/>
        <v>1</v>
      </c>
      <c r="AB128" s="150"/>
      <c r="AC128" s="79"/>
      <c r="AD128" s="79"/>
      <c r="AE128" s="1"/>
      <c r="AF128" s="1"/>
      <c r="AG128" s="1"/>
      <c r="AH128" s="1"/>
    </row>
    <row r="129" spans="1:34">
      <c r="A129" s="32">
        <v>117</v>
      </c>
      <c r="B129" s="45"/>
      <c r="C129" s="168">
        <v>204</v>
      </c>
      <c r="D129" s="167">
        <v>204</v>
      </c>
      <c r="E129" s="80">
        <v>0.49</v>
      </c>
      <c r="F129" s="80">
        <v>0.49</v>
      </c>
      <c r="G129" s="80">
        <v>0.49</v>
      </c>
      <c r="H129" s="80">
        <v>0.49</v>
      </c>
      <c r="I129" s="80">
        <v>0.49</v>
      </c>
      <c r="J129" s="80"/>
      <c r="K129" s="166">
        <v>26.04</v>
      </c>
      <c r="L129" s="165">
        <v>26.29</v>
      </c>
      <c r="M129" s="41"/>
      <c r="N129" s="164"/>
      <c r="O129" s="45"/>
      <c r="P129" s="23" t="s">
        <v>20</v>
      </c>
      <c r="Q129" s="123"/>
      <c r="R129" s="162">
        <v>35.6</v>
      </c>
      <c r="S129" s="36">
        <f t="shared" si="12"/>
        <v>13.611406725885461</v>
      </c>
      <c r="T129" s="35">
        <v>3</v>
      </c>
      <c r="U129" s="35"/>
      <c r="V129" s="161">
        <v>117</v>
      </c>
      <c r="W129" s="160">
        <f t="shared" si="13"/>
        <v>0</v>
      </c>
      <c r="X129" s="35">
        <f t="shared" si="14"/>
        <v>0</v>
      </c>
      <c r="Y129" s="35">
        <v>0</v>
      </c>
      <c r="Z129" s="34">
        <v>0</v>
      </c>
      <c r="AA129" s="33">
        <f t="shared" si="15"/>
        <v>0</v>
      </c>
      <c r="AB129" s="150"/>
      <c r="AC129" s="79"/>
      <c r="AD129" s="79"/>
      <c r="AE129" s="1"/>
      <c r="AF129" s="1"/>
      <c r="AG129" s="1"/>
      <c r="AH129" s="1"/>
    </row>
    <row r="130" spans="1:34">
      <c r="A130" s="32">
        <v>118</v>
      </c>
      <c r="B130" s="45"/>
      <c r="C130" s="168">
        <v>204</v>
      </c>
      <c r="D130" s="167">
        <v>204</v>
      </c>
      <c r="E130" s="80">
        <v>0.49</v>
      </c>
      <c r="F130" s="80">
        <v>0.49</v>
      </c>
      <c r="G130" s="80">
        <v>0.49</v>
      </c>
      <c r="H130" s="80">
        <v>0.49</v>
      </c>
      <c r="I130" s="80">
        <v>0.49</v>
      </c>
      <c r="J130" s="80"/>
      <c r="K130" s="166">
        <v>26.13</v>
      </c>
      <c r="L130" s="165">
        <v>26.18</v>
      </c>
      <c r="M130" s="41"/>
      <c r="N130" s="164"/>
      <c r="O130" s="45" t="s">
        <v>20</v>
      </c>
      <c r="P130" s="23" t="s">
        <v>20</v>
      </c>
      <c r="Q130" s="163" t="s">
        <v>21</v>
      </c>
      <c r="R130" s="162">
        <v>34.9</v>
      </c>
      <c r="S130" s="36">
        <f t="shared" si="12"/>
        <v>13.348868509361305</v>
      </c>
      <c r="T130" s="35">
        <v>3</v>
      </c>
      <c r="U130" s="35"/>
      <c r="V130" s="161">
        <v>118</v>
      </c>
      <c r="W130" s="160">
        <f t="shared" si="13"/>
        <v>0</v>
      </c>
      <c r="X130" s="35">
        <f t="shared" si="14"/>
        <v>0</v>
      </c>
      <c r="Y130" s="35">
        <v>0</v>
      </c>
      <c r="Z130" s="34">
        <v>0</v>
      </c>
      <c r="AA130" s="33">
        <f t="shared" si="15"/>
        <v>0</v>
      </c>
      <c r="AB130" s="150"/>
      <c r="AC130" s="79"/>
      <c r="AD130" s="79"/>
      <c r="AE130" s="1"/>
      <c r="AF130" s="1"/>
      <c r="AG130" s="1"/>
      <c r="AH130" s="1"/>
    </row>
    <row r="131" spans="1:34">
      <c r="A131" s="32">
        <v>119</v>
      </c>
      <c r="B131" s="45"/>
      <c r="C131" s="168">
        <v>204</v>
      </c>
      <c r="D131" s="167">
        <v>204</v>
      </c>
      <c r="E131" s="80">
        <v>0.51</v>
      </c>
      <c r="F131" s="80">
        <v>0.5</v>
      </c>
      <c r="G131" s="80">
        <v>0.5</v>
      </c>
      <c r="H131" s="80">
        <v>0.51</v>
      </c>
      <c r="I131" s="80">
        <v>0.51</v>
      </c>
      <c r="J131" s="80"/>
      <c r="K131" s="166">
        <v>26.36</v>
      </c>
      <c r="L131" s="165">
        <v>26.27</v>
      </c>
      <c r="M131" s="41"/>
      <c r="N131" s="164"/>
      <c r="O131" s="45"/>
      <c r="P131" s="23"/>
      <c r="Q131" s="163" t="s">
        <v>19</v>
      </c>
      <c r="R131" s="162">
        <v>36.6</v>
      </c>
      <c r="S131" s="36">
        <f t="shared" si="12"/>
        <v>13.474015008639054</v>
      </c>
      <c r="T131" s="35">
        <v>3</v>
      </c>
      <c r="U131" s="35"/>
      <c r="V131" s="161">
        <v>119</v>
      </c>
      <c r="W131" s="160">
        <f t="shared" si="13"/>
        <v>1.0000000000000009E-2</v>
      </c>
      <c r="X131" s="35">
        <f t="shared" si="14"/>
        <v>0</v>
      </c>
      <c r="Y131" s="35">
        <v>0</v>
      </c>
      <c r="Z131" s="34">
        <v>0</v>
      </c>
      <c r="AA131" s="33">
        <f t="shared" si="15"/>
        <v>0</v>
      </c>
      <c r="AB131" s="150"/>
      <c r="AC131" s="79"/>
      <c r="AD131" s="79"/>
      <c r="AE131" s="1"/>
      <c r="AF131" s="1"/>
      <c r="AG131" s="1"/>
      <c r="AH131" s="1"/>
    </row>
    <row r="132" spans="1:34">
      <c r="A132" s="32">
        <v>120</v>
      </c>
      <c r="B132" s="45"/>
      <c r="C132" s="168">
        <v>204</v>
      </c>
      <c r="D132" s="167">
        <v>204</v>
      </c>
      <c r="E132" s="80">
        <v>0.49</v>
      </c>
      <c r="F132" s="80">
        <v>0.5</v>
      </c>
      <c r="G132" s="80">
        <v>0.5</v>
      </c>
      <c r="H132" s="80">
        <v>0.5</v>
      </c>
      <c r="I132" s="80">
        <v>0.5</v>
      </c>
      <c r="J132" s="80"/>
      <c r="K132" s="166">
        <v>26.28</v>
      </c>
      <c r="L132" s="165">
        <v>26.19</v>
      </c>
      <c r="M132" s="41"/>
      <c r="N132" s="164"/>
      <c r="O132" s="45" t="s">
        <v>22</v>
      </c>
      <c r="P132" s="23" t="s">
        <v>20</v>
      </c>
      <c r="Q132" s="163" t="s">
        <v>21</v>
      </c>
      <c r="R132" s="162">
        <v>34.700000000000003</v>
      </c>
      <c r="S132" s="36">
        <f t="shared" si="12"/>
        <v>13.019337821320446</v>
      </c>
      <c r="T132" s="35">
        <v>3</v>
      </c>
      <c r="U132" s="35"/>
      <c r="V132" s="161">
        <v>120</v>
      </c>
      <c r="W132" s="160">
        <f t="shared" si="13"/>
        <v>1.0000000000000009E-2</v>
      </c>
      <c r="X132" s="35">
        <f t="shared" si="14"/>
        <v>0</v>
      </c>
      <c r="Y132" s="35">
        <v>0</v>
      </c>
      <c r="Z132" s="34">
        <v>0</v>
      </c>
      <c r="AA132" s="33">
        <f t="shared" si="15"/>
        <v>1</v>
      </c>
      <c r="AB132" s="150"/>
      <c r="AC132" s="79"/>
      <c r="AD132" s="79"/>
      <c r="AE132" s="1"/>
      <c r="AF132" s="1"/>
      <c r="AG132" s="1"/>
      <c r="AH132" s="1"/>
    </row>
    <row r="133" spans="1:34">
      <c r="A133" s="32">
        <v>121</v>
      </c>
      <c r="B133" s="45"/>
      <c r="C133" s="168">
        <v>204</v>
      </c>
      <c r="D133" s="167">
        <v>204</v>
      </c>
      <c r="E133" s="80">
        <v>0.49</v>
      </c>
      <c r="F133" s="80">
        <v>0.5</v>
      </c>
      <c r="G133" s="80">
        <v>0.5</v>
      </c>
      <c r="H133" s="80">
        <v>0.5</v>
      </c>
      <c r="I133" s="80">
        <v>0.5</v>
      </c>
      <c r="J133" s="80"/>
      <c r="K133" s="46">
        <v>26.08</v>
      </c>
      <c r="L133" s="165">
        <v>26.08</v>
      </c>
      <c r="M133" s="41"/>
      <c r="N133" s="164"/>
      <c r="O133" s="45" t="s">
        <v>22</v>
      </c>
      <c r="P133" s="23" t="s">
        <v>20</v>
      </c>
      <c r="Q133" s="123"/>
      <c r="R133" s="162">
        <v>35.5</v>
      </c>
      <c r="S133" s="36">
        <f t="shared" si="12"/>
        <v>13.398656577470714</v>
      </c>
      <c r="T133" s="35">
        <v>3</v>
      </c>
      <c r="U133" s="35"/>
      <c r="V133" s="161">
        <v>121</v>
      </c>
      <c r="W133" s="160">
        <f t="shared" si="13"/>
        <v>1.0000000000000009E-2</v>
      </c>
      <c r="X133" s="35">
        <f t="shared" si="14"/>
        <v>0</v>
      </c>
      <c r="Y133" s="35">
        <v>0</v>
      </c>
      <c r="Z133" s="34">
        <v>0</v>
      </c>
      <c r="AA133" s="33">
        <f t="shared" si="15"/>
        <v>1</v>
      </c>
      <c r="AB133" s="150"/>
      <c r="AC133" s="79"/>
      <c r="AD133" s="79"/>
      <c r="AE133" s="1"/>
      <c r="AF133" s="1"/>
      <c r="AG133" s="1"/>
      <c r="AH133" s="1"/>
    </row>
    <row r="134" spans="1:34">
      <c r="A134" s="32">
        <v>122</v>
      </c>
      <c r="B134" s="45"/>
      <c r="C134" s="168">
        <v>204</v>
      </c>
      <c r="D134" s="167">
        <v>204</v>
      </c>
      <c r="E134" s="80">
        <v>0.5</v>
      </c>
      <c r="F134" s="80">
        <v>0.5</v>
      </c>
      <c r="G134" s="80">
        <v>0.5</v>
      </c>
      <c r="H134" s="80">
        <v>0.5</v>
      </c>
      <c r="I134" s="80">
        <v>0.5</v>
      </c>
      <c r="J134" s="80"/>
      <c r="K134" s="166">
        <v>26.08</v>
      </c>
      <c r="L134" s="165">
        <v>26.16</v>
      </c>
      <c r="M134" s="41" t="s">
        <v>20</v>
      </c>
      <c r="N134" s="164"/>
      <c r="O134" s="45" t="s">
        <v>20</v>
      </c>
      <c r="P134" s="23"/>
      <c r="Q134" s="163" t="s">
        <v>21</v>
      </c>
      <c r="R134" s="162">
        <v>36</v>
      </c>
      <c r="S134" s="36">
        <f t="shared" si="12"/>
        <v>13.512296189532474</v>
      </c>
      <c r="T134" s="35">
        <v>3</v>
      </c>
      <c r="U134" s="35"/>
      <c r="V134" s="161">
        <v>122</v>
      </c>
      <c r="W134" s="160">
        <f t="shared" si="13"/>
        <v>0</v>
      </c>
      <c r="X134" s="35">
        <f t="shared" si="14"/>
        <v>0</v>
      </c>
      <c r="Y134" s="35">
        <v>0</v>
      </c>
      <c r="Z134" s="34">
        <v>0</v>
      </c>
      <c r="AA134" s="33">
        <f t="shared" si="15"/>
        <v>0</v>
      </c>
      <c r="AB134" s="150"/>
      <c r="AC134" s="79"/>
      <c r="AD134" s="79"/>
      <c r="AE134" s="1"/>
      <c r="AF134" s="1"/>
      <c r="AG134" s="1"/>
      <c r="AH134" s="1"/>
    </row>
    <row r="135" spans="1:34">
      <c r="A135" s="44">
        <v>123</v>
      </c>
      <c r="B135" s="45"/>
      <c r="C135" s="168">
        <v>204</v>
      </c>
      <c r="D135" s="167">
        <v>204</v>
      </c>
      <c r="E135" s="80">
        <v>0.5</v>
      </c>
      <c r="F135" s="80">
        <v>0.5</v>
      </c>
      <c r="G135" s="80">
        <v>0.51</v>
      </c>
      <c r="H135" s="80">
        <v>0.51</v>
      </c>
      <c r="I135" s="80">
        <v>0.51</v>
      </c>
      <c r="J135" s="80"/>
      <c r="K135" s="166">
        <v>26.44</v>
      </c>
      <c r="L135" s="165">
        <v>26.2</v>
      </c>
      <c r="M135" s="41" t="s">
        <v>22</v>
      </c>
      <c r="N135" s="164" t="s">
        <v>20</v>
      </c>
      <c r="O135" s="45" t="s">
        <v>22</v>
      </c>
      <c r="P135" s="23" t="s">
        <v>20</v>
      </c>
      <c r="Q135" s="163" t="s">
        <v>19</v>
      </c>
      <c r="R135" s="162">
        <v>37</v>
      </c>
      <c r="S135" s="36">
        <f t="shared" si="12"/>
        <v>13.618684375608792</v>
      </c>
      <c r="T135" s="35">
        <v>3</v>
      </c>
      <c r="U135" s="35"/>
      <c r="V135" s="172">
        <v>123</v>
      </c>
      <c r="W135" s="160">
        <f t="shared" si="13"/>
        <v>1.0000000000000009E-2</v>
      </c>
      <c r="X135" s="35">
        <f t="shared" si="14"/>
        <v>0</v>
      </c>
      <c r="Y135" s="35">
        <v>0</v>
      </c>
      <c r="Z135" s="34">
        <v>0</v>
      </c>
      <c r="AA135" s="33">
        <f t="shared" si="15"/>
        <v>1</v>
      </c>
      <c r="AB135" s="169" t="s">
        <v>61</v>
      </c>
      <c r="AC135" s="79"/>
      <c r="AD135" s="79"/>
      <c r="AE135" s="1"/>
      <c r="AF135" s="1"/>
      <c r="AG135" s="1"/>
      <c r="AH135" s="1"/>
    </row>
    <row r="136" spans="1:34">
      <c r="A136" s="32">
        <v>124</v>
      </c>
      <c r="B136" s="45"/>
      <c r="C136" s="168">
        <v>204</v>
      </c>
      <c r="D136" s="167">
        <v>204</v>
      </c>
      <c r="E136" s="80">
        <v>0.51</v>
      </c>
      <c r="F136" s="80">
        <v>0.51</v>
      </c>
      <c r="G136" s="80">
        <v>0.51</v>
      </c>
      <c r="H136" s="80">
        <v>0.51</v>
      </c>
      <c r="I136" s="80">
        <v>0.51</v>
      </c>
      <c r="J136" s="80"/>
      <c r="K136" s="166">
        <v>26.06</v>
      </c>
      <c r="L136" s="165">
        <v>26.05</v>
      </c>
      <c r="M136" s="41"/>
      <c r="N136" s="164"/>
      <c r="O136" s="45" t="s">
        <v>20</v>
      </c>
      <c r="P136" s="23"/>
      <c r="Q136" s="123"/>
      <c r="R136" s="162">
        <v>36.299999999999997</v>
      </c>
      <c r="S136" s="36">
        <f t="shared" si="12"/>
        <v>13.391067648796341</v>
      </c>
      <c r="T136" s="35">
        <v>3</v>
      </c>
      <c r="U136" s="35"/>
      <c r="V136" s="161">
        <v>124</v>
      </c>
      <c r="W136" s="160">
        <f t="shared" si="13"/>
        <v>0</v>
      </c>
      <c r="X136" s="35">
        <f t="shared" si="14"/>
        <v>0</v>
      </c>
      <c r="Y136" s="35">
        <v>0</v>
      </c>
      <c r="Z136" s="34">
        <v>0</v>
      </c>
      <c r="AA136" s="33">
        <f t="shared" si="15"/>
        <v>0</v>
      </c>
      <c r="AB136" s="150"/>
      <c r="AC136" s="79"/>
      <c r="AD136" s="79"/>
      <c r="AE136" s="1"/>
      <c r="AF136" s="1"/>
      <c r="AG136" s="1"/>
      <c r="AH136" s="1"/>
    </row>
    <row r="137" spans="1:34">
      <c r="A137" s="32">
        <v>125</v>
      </c>
      <c r="B137" s="45"/>
      <c r="C137" s="168">
        <v>204</v>
      </c>
      <c r="D137" s="167">
        <v>204</v>
      </c>
      <c r="E137" s="80">
        <v>0.5</v>
      </c>
      <c r="F137" s="80">
        <v>0.5</v>
      </c>
      <c r="G137" s="80">
        <v>0.5</v>
      </c>
      <c r="H137" s="80">
        <v>0.5</v>
      </c>
      <c r="I137" s="80">
        <v>0.5</v>
      </c>
      <c r="J137" s="80"/>
      <c r="K137" s="46">
        <v>26.11</v>
      </c>
      <c r="L137" s="165">
        <v>26.08</v>
      </c>
      <c r="M137" s="41" t="s">
        <v>20</v>
      </c>
      <c r="N137" s="164"/>
      <c r="O137" s="45" t="s">
        <v>20</v>
      </c>
      <c r="P137" s="23" t="s">
        <v>22</v>
      </c>
      <c r="Q137" s="123" t="s">
        <v>23</v>
      </c>
      <c r="R137" s="162">
        <v>35.5</v>
      </c>
      <c r="S137" s="36">
        <f t="shared" si="12"/>
        <v>13.337390905777907</v>
      </c>
      <c r="T137" s="35">
        <v>3</v>
      </c>
      <c r="U137" s="35"/>
      <c r="V137" s="161">
        <v>125</v>
      </c>
      <c r="W137" s="160">
        <f t="shared" si="13"/>
        <v>0</v>
      </c>
      <c r="X137" s="35">
        <f t="shared" si="14"/>
        <v>0</v>
      </c>
      <c r="Y137" s="35">
        <v>0</v>
      </c>
      <c r="Z137" s="34">
        <v>0</v>
      </c>
      <c r="AA137" s="33">
        <f t="shared" si="15"/>
        <v>1</v>
      </c>
      <c r="AB137" s="150"/>
      <c r="AC137" s="79"/>
      <c r="AD137" s="79"/>
      <c r="AE137" s="1"/>
      <c r="AF137" s="1"/>
      <c r="AG137" s="1"/>
      <c r="AH137" s="1"/>
    </row>
    <row r="138" spans="1:34">
      <c r="A138" s="32">
        <v>126</v>
      </c>
      <c r="B138" s="45"/>
      <c r="C138" s="168">
        <v>204</v>
      </c>
      <c r="D138" s="167">
        <v>204</v>
      </c>
      <c r="E138" s="80">
        <v>0.5</v>
      </c>
      <c r="F138" s="80">
        <v>0.5</v>
      </c>
      <c r="G138" s="80">
        <v>0.5</v>
      </c>
      <c r="H138" s="80">
        <v>0.5</v>
      </c>
      <c r="I138" s="80">
        <v>0.5</v>
      </c>
      <c r="J138" s="80"/>
      <c r="K138" s="46">
        <v>26.16</v>
      </c>
      <c r="L138" s="165">
        <v>26.05</v>
      </c>
      <c r="M138" s="41"/>
      <c r="N138" s="164" t="s">
        <v>22</v>
      </c>
      <c r="O138" s="45" t="s">
        <v>20</v>
      </c>
      <c r="P138" s="23"/>
      <c r="Q138" s="163" t="s">
        <v>21</v>
      </c>
      <c r="R138" s="162">
        <v>35.799999999999997</v>
      </c>
      <c r="S138" s="36">
        <f t="shared" si="12"/>
        <v>13.444948942994166</v>
      </c>
      <c r="T138" s="35">
        <v>3</v>
      </c>
      <c r="U138" s="35"/>
      <c r="V138" s="161">
        <v>126</v>
      </c>
      <c r="W138" s="160">
        <f t="shared" si="13"/>
        <v>0</v>
      </c>
      <c r="X138" s="35">
        <f t="shared" si="14"/>
        <v>0</v>
      </c>
      <c r="Y138" s="35">
        <v>0</v>
      </c>
      <c r="Z138" s="34">
        <v>0</v>
      </c>
      <c r="AA138" s="33">
        <f t="shared" si="15"/>
        <v>1</v>
      </c>
      <c r="AB138" s="150"/>
      <c r="AC138" s="79"/>
      <c r="AD138" s="79"/>
      <c r="AE138" s="1"/>
      <c r="AF138" s="1"/>
      <c r="AG138" s="1"/>
      <c r="AH138" s="1"/>
    </row>
    <row r="139" spans="1:34">
      <c r="A139" s="32">
        <v>127</v>
      </c>
      <c r="B139" s="45"/>
      <c r="C139" s="168">
        <v>204</v>
      </c>
      <c r="D139" s="167">
        <v>204</v>
      </c>
      <c r="E139" s="80">
        <v>0.51</v>
      </c>
      <c r="F139" s="80">
        <v>0.51</v>
      </c>
      <c r="G139" s="80">
        <v>0.51</v>
      </c>
      <c r="H139" s="80">
        <v>0.52</v>
      </c>
      <c r="I139" s="80">
        <v>0.52</v>
      </c>
      <c r="J139" s="80"/>
      <c r="K139" s="46">
        <v>26.4</v>
      </c>
      <c r="L139" s="165">
        <v>26.2</v>
      </c>
      <c r="M139" s="41"/>
      <c r="N139" s="164"/>
      <c r="O139" s="45"/>
      <c r="P139" s="23" t="s">
        <v>20</v>
      </c>
      <c r="Q139" s="123"/>
      <c r="R139" s="162">
        <v>37.4</v>
      </c>
      <c r="S139" s="36">
        <f t="shared" si="12"/>
        <v>13.561963377767258</v>
      </c>
      <c r="T139" s="35">
        <v>3</v>
      </c>
      <c r="U139" s="35"/>
      <c r="V139" s="161">
        <v>127</v>
      </c>
      <c r="W139" s="160">
        <f t="shared" si="13"/>
        <v>1.0000000000000009E-2</v>
      </c>
      <c r="X139" s="35">
        <f t="shared" si="14"/>
        <v>0</v>
      </c>
      <c r="Y139" s="35">
        <v>0</v>
      </c>
      <c r="Z139" s="34">
        <v>0</v>
      </c>
      <c r="AA139" s="33">
        <f t="shared" si="15"/>
        <v>0</v>
      </c>
      <c r="AB139" s="150"/>
      <c r="AC139" s="79"/>
      <c r="AD139" s="79"/>
      <c r="AE139" s="1"/>
      <c r="AF139" s="1"/>
      <c r="AG139" s="1"/>
      <c r="AH139" s="1"/>
    </row>
    <row r="140" spans="1:34">
      <c r="A140" s="32">
        <v>128</v>
      </c>
      <c r="B140" s="45"/>
      <c r="C140" s="168">
        <v>204</v>
      </c>
      <c r="D140" s="167">
        <v>204</v>
      </c>
      <c r="E140" s="80">
        <v>0.51</v>
      </c>
      <c r="F140" s="80">
        <v>0.51</v>
      </c>
      <c r="G140" s="80">
        <v>0.51</v>
      </c>
      <c r="H140" s="80">
        <v>0.51</v>
      </c>
      <c r="I140" s="80">
        <v>0.51</v>
      </c>
      <c r="J140" s="80"/>
      <c r="K140" s="46">
        <v>26.22</v>
      </c>
      <c r="L140" s="165">
        <v>26.38</v>
      </c>
      <c r="M140" s="41"/>
      <c r="N140" s="164" t="s">
        <v>20</v>
      </c>
      <c r="O140" s="45" t="s">
        <v>20</v>
      </c>
      <c r="P140" s="23" t="s">
        <v>22</v>
      </c>
      <c r="Q140" s="123"/>
      <c r="R140" s="162">
        <v>36.799999999999997</v>
      </c>
      <c r="S140" s="36">
        <f t="shared" ref="S140:S165" si="16">R140/(AVERAGE(C140:D140)*AVERAGE(E140:J140)*AVERAGE(K140:L140)*0.001)</f>
        <v>13.449053669033407</v>
      </c>
      <c r="T140" s="35">
        <v>3</v>
      </c>
      <c r="U140" s="35"/>
      <c r="V140" s="161">
        <v>128</v>
      </c>
      <c r="W140" s="160">
        <f t="shared" ref="W140:W165" si="17">MAX(E140:I140)-MIN(E140:I140)</f>
        <v>0</v>
      </c>
      <c r="X140" s="35">
        <f t="shared" ref="X140:X165" si="18">IF(OR(ABS(E140-$C$6)&gt;($C$6*0.1),ABS(F140-$C$6)&gt;($C$6*0.1),ABS(G140-$C$6)&gt;($C$6*0.1),ABS(H140-$C$6)&gt;($C$6*0.1),ABS(I140-$C$6)&gt;($C$6*0.1)),1,0)</f>
        <v>0</v>
      </c>
      <c r="Y140" s="35">
        <v>0</v>
      </c>
      <c r="Z140" s="34">
        <v>0</v>
      </c>
      <c r="AA140" s="33">
        <f t="shared" ref="AA140:AA165" si="19">IF(OR(M140="Y",N140="Y",O140="Y",P140="Y"),1,0)</f>
        <v>1</v>
      </c>
      <c r="AB140" s="150"/>
      <c r="AC140" s="79"/>
      <c r="AD140" s="79"/>
      <c r="AE140" s="1"/>
      <c r="AF140" s="1"/>
      <c r="AG140" s="1"/>
      <c r="AH140" s="1"/>
    </row>
    <row r="141" spans="1:34">
      <c r="A141" s="44">
        <v>129</v>
      </c>
      <c r="B141" s="45"/>
      <c r="C141" s="168">
        <v>204</v>
      </c>
      <c r="D141" s="167">
        <v>204</v>
      </c>
      <c r="E141" s="80">
        <v>0.51</v>
      </c>
      <c r="F141" s="80">
        <v>0.51</v>
      </c>
      <c r="G141" s="80">
        <v>0.51</v>
      </c>
      <c r="H141" s="80">
        <v>0.51</v>
      </c>
      <c r="I141" s="80">
        <v>0.5</v>
      </c>
      <c r="J141" s="80"/>
      <c r="K141" s="166">
        <v>26.26</v>
      </c>
      <c r="L141" s="165">
        <v>26.39</v>
      </c>
      <c r="M141" s="41" t="s">
        <v>22</v>
      </c>
      <c r="N141" s="164" t="s">
        <v>22</v>
      </c>
      <c r="O141" s="45"/>
      <c r="P141" s="23"/>
      <c r="Q141" s="163" t="s">
        <v>21</v>
      </c>
      <c r="R141" s="162">
        <v>36.299999999999997</v>
      </c>
      <c r="S141" s="36">
        <f t="shared" si="16"/>
        <v>13.305903378467834</v>
      </c>
      <c r="T141" s="35">
        <v>3</v>
      </c>
      <c r="U141" s="35"/>
      <c r="V141" s="172">
        <v>129</v>
      </c>
      <c r="W141" s="160">
        <f t="shared" si="17"/>
        <v>1.0000000000000009E-2</v>
      </c>
      <c r="X141" s="35">
        <f t="shared" si="18"/>
        <v>0</v>
      </c>
      <c r="Y141" s="35">
        <v>0</v>
      </c>
      <c r="Z141" s="34">
        <v>0</v>
      </c>
      <c r="AA141" s="33">
        <f t="shared" si="19"/>
        <v>1</v>
      </c>
      <c r="AB141" s="169" t="s">
        <v>61</v>
      </c>
      <c r="AC141" s="79"/>
      <c r="AD141" s="79"/>
      <c r="AE141" s="1"/>
      <c r="AF141" s="1"/>
      <c r="AG141" s="1"/>
      <c r="AH141" s="1"/>
    </row>
    <row r="142" spans="1:34">
      <c r="A142" s="32">
        <v>130</v>
      </c>
      <c r="B142" s="45"/>
      <c r="C142" s="168">
        <v>204</v>
      </c>
      <c r="D142" s="167">
        <v>204</v>
      </c>
      <c r="E142" s="80">
        <v>0.51</v>
      </c>
      <c r="F142" s="80">
        <v>0.51</v>
      </c>
      <c r="G142" s="80">
        <v>0.51</v>
      </c>
      <c r="H142" s="80">
        <v>0.51</v>
      </c>
      <c r="I142" s="80">
        <v>0.51</v>
      </c>
      <c r="J142" s="80"/>
      <c r="K142" s="166">
        <v>26.23</v>
      </c>
      <c r="L142" s="165">
        <v>26.44</v>
      </c>
      <c r="M142" s="41" t="s">
        <v>20</v>
      </c>
      <c r="N142" s="164" t="s">
        <v>20</v>
      </c>
      <c r="O142" s="45"/>
      <c r="P142" s="23"/>
      <c r="Q142" s="123"/>
      <c r="R142" s="162">
        <v>36.9</v>
      </c>
      <c r="S142" s="36">
        <f t="shared" si="16"/>
        <v>13.467677246129353</v>
      </c>
      <c r="T142" s="35">
        <v>3</v>
      </c>
      <c r="U142" s="35"/>
      <c r="V142" s="161">
        <v>130</v>
      </c>
      <c r="W142" s="160">
        <f t="shared" si="17"/>
        <v>0</v>
      </c>
      <c r="X142" s="35">
        <f t="shared" si="18"/>
        <v>0</v>
      </c>
      <c r="Y142" s="35">
        <v>0</v>
      </c>
      <c r="Z142" s="34">
        <v>0</v>
      </c>
      <c r="AA142" s="33">
        <f t="shared" si="19"/>
        <v>0</v>
      </c>
      <c r="AB142" s="150"/>
      <c r="AC142" s="79"/>
      <c r="AD142" s="79"/>
      <c r="AE142" s="1"/>
      <c r="AF142" s="1"/>
      <c r="AG142" s="1"/>
      <c r="AH142" s="1"/>
    </row>
    <row r="143" spans="1:34">
      <c r="A143" s="32">
        <v>131</v>
      </c>
      <c r="B143" s="45"/>
      <c r="C143" s="168">
        <v>204</v>
      </c>
      <c r="D143" s="167">
        <v>204</v>
      </c>
      <c r="E143" s="80">
        <v>0.5</v>
      </c>
      <c r="F143" s="80">
        <v>0.5</v>
      </c>
      <c r="G143" s="80">
        <v>0.5</v>
      </c>
      <c r="H143" s="80">
        <v>0.5</v>
      </c>
      <c r="I143" s="80">
        <v>0.51</v>
      </c>
      <c r="J143" s="80"/>
      <c r="K143" s="166">
        <v>26.41</v>
      </c>
      <c r="L143" s="165">
        <v>26.26</v>
      </c>
      <c r="M143" s="41"/>
      <c r="N143" s="164" t="s">
        <v>20</v>
      </c>
      <c r="O143" s="45" t="s">
        <v>20</v>
      </c>
      <c r="P143" s="23" t="s">
        <v>22</v>
      </c>
      <c r="Q143" s="123"/>
      <c r="R143" s="162">
        <v>36.700000000000003</v>
      </c>
      <c r="S143" s="36">
        <f t="shared" si="16"/>
        <v>13.608142768535783</v>
      </c>
      <c r="T143" s="35">
        <v>3</v>
      </c>
      <c r="U143" s="35"/>
      <c r="V143" s="161">
        <v>131</v>
      </c>
      <c r="W143" s="160">
        <f t="shared" si="17"/>
        <v>1.0000000000000009E-2</v>
      </c>
      <c r="X143" s="35">
        <f t="shared" si="18"/>
        <v>0</v>
      </c>
      <c r="Y143" s="35">
        <v>0</v>
      </c>
      <c r="Z143" s="34">
        <v>0</v>
      </c>
      <c r="AA143" s="33">
        <f t="shared" si="19"/>
        <v>1</v>
      </c>
      <c r="AB143" s="150"/>
      <c r="AC143" s="79"/>
      <c r="AD143" s="79"/>
      <c r="AE143" s="1"/>
      <c r="AF143" s="1"/>
      <c r="AG143" s="1"/>
      <c r="AH143" s="1"/>
    </row>
    <row r="144" spans="1:34">
      <c r="A144" s="32">
        <v>132</v>
      </c>
      <c r="B144" s="45"/>
      <c r="C144" s="168">
        <v>204</v>
      </c>
      <c r="D144" s="167">
        <v>204</v>
      </c>
      <c r="E144" s="80">
        <v>0.5</v>
      </c>
      <c r="F144" s="80">
        <v>0.5</v>
      </c>
      <c r="G144" s="80">
        <v>0.51</v>
      </c>
      <c r="H144" s="80">
        <v>0.51</v>
      </c>
      <c r="I144" s="80">
        <v>0.51</v>
      </c>
      <c r="J144" s="80"/>
      <c r="K144" s="166">
        <v>26.39</v>
      </c>
      <c r="L144" s="165">
        <v>26.23</v>
      </c>
      <c r="M144" s="41" t="s">
        <v>20</v>
      </c>
      <c r="N144" s="164"/>
      <c r="O144" s="45"/>
      <c r="P144" s="23" t="s">
        <v>20</v>
      </c>
      <c r="Q144" s="163" t="s">
        <v>21</v>
      </c>
      <c r="R144" s="162">
        <v>37.1</v>
      </c>
      <c r="S144" s="36">
        <f t="shared" si="16"/>
        <v>13.660681859347969</v>
      </c>
      <c r="T144" s="35">
        <v>3</v>
      </c>
      <c r="U144" s="35"/>
      <c r="V144" s="161">
        <v>132</v>
      </c>
      <c r="W144" s="160">
        <f t="shared" si="17"/>
        <v>1.0000000000000009E-2</v>
      </c>
      <c r="X144" s="35">
        <f t="shared" si="18"/>
        <v>0</v>
      </c>
      <c r="Y144" s="35">
        <v>0</v>
      </c>
      <c r="Z144" s="34">
        <v>0</v>
      </c>
      <c r="AA144" s="33">
        <f t="shared" si="19"/>
        <v>0</v>
      </c>
      <c r="AB144" s="150"/>
      <c r="AC144" s="79"/>
      <c r="AD144" s="79"/>
      <c r="AE144" s="1"/>
      <c r="AF144" s="1"/>
      <c r="AG144" s="1"/>
      <c r="AH144" s="1"/>
    </row>
    <row r="145" spans="1:34">
      <c r="A145" s="32">
        <v>133</v>
      </c>
      <c r="B145" s="45"/>
      <c r="C145" s="168">
        <v>204</v>
      </c>
      <c r="D145" s="167">
        <v>204</v>
      </c>
      <c r="E145" s="80">
        <v>0.5</v>
      </c>
      <c r="F145" s="80">
        <v>0.5</v>
      </c>
      <c r="G145" s="80">
        <v>0.5</v>
      </c>
      <c r="H145" s="80">
        <v>0.51</v>
      </c>
      <c r="I145" s="80">
        <v>0.51</v>
      </c>
      <c r="J145" s="80"/>
      <c r="K145" s="166">
        <v>26.26</v>
      </c>
      <c r="L145" s="165">
        <v>26.37</v>
      </c>
      <c r="M145" s="41"/>
      <c r="N145" s="164" t="s">
        <v>20</v>
      </c>
      <c r="O145" s="45"/>
      <c r="P145" s="23" t="s">
        <v>22</v>
      </c>
      <c r="Q145" s="123"/>
      <c r="R145" s="162">
        <v>36.6</v>
      </c>
      <c r="S145" s="36">
        <f t="shared" si="16"/>
        <v>13.5274833221654</v>
      </c>
      <c r="T145" s="35">
        <v>3</v>
      </c>
      <c r="U145" s="35"/>
      <c r="V145" s="161">
        <v>133</v>
      </c>
      <c r="W145" s="160">
        <f t="shared" si="17"/>
        <v>1.0000000000000009E-2</v>
      </c>
      <c r="X145" s="35">
        <f t="shared" si="18"/>
        <v>0</v>
      </c>
      <c r="Y145" s="35">
        <v>0</v>
      </c>
      <c r="Z145" s="34">
        <v>0</v>
      </c>
      <c r="AA145" s="33">
        <f t="shared" si="19"/>
        <v>1</v>
      </c>
      <c r="AB145" s="150"/>
      <c r="AC145" s="79"/>
      <c r="AD145" s="79"/>
      <c r="AE145" s="1"/>
      <c r="AF145" s="1"/>
      <c r="AG145" s="1"/>
      <c r="AH145" s="1"/>
    </row>
    <row r="146" spans="1:34">
      <c r="A146" s="44">
        <v>134</v>
      </c>
      <c r="B146" s="45"/>
      <c r="C146" s="168">
        <v>204</v>
      </c>
      <c r="D146" s="167">
        <v>204</v>
      </c>
      <c r="E146" s="80">
        <v>0.5</v>
      </c>
      <c r="F146" s="80">
        <v>0.5</v>
      </c>
      <c r="G146" s="80">
        <v>0.5</v>
      </c>
      <c r="H146" s="80">
        <v>0.5</v>
      </c>
      <c r="I146" s="80">
        <v>0.5</v>
      </c>
      <c r="J146" s="80"/>
      <c r="K146" s="166">
        <v>26.29</v>
      </c>
      <c r="L146" s="165">
        <v>26.24</v>
      </c>
      <c r="M146" s="41"/>
      <c r="N146" s="164" t="s">
        <v>22</v>
      </c>
      <c r="O146" s="45"/>
      <c r="P146" s="23" t="s">
        <v>22</v>
      </c>
      <c r="Q146" s="163" t="s">
        <v>21</v>
      </c>
      <c r="R146" s="162">
        <v>36.6</v>
      </c>
      <c r="S146" s="36">
        <f t="shared" si="16"/>
        <v>13.661661123615636</v>
      </c>
      <c r="T146" s="35">
        <v>3</v>
      </c>
      <c r="U146" s="35"/>
      <c r="V146" s="172">
        <v>134</v>
      </c>
      <c r="W146" s="160">
        <f t="shared" si="17"/>
        <v>0</v>
      </c>
      <c r="X146" s="35">
        <f t="shared" si="18"/>
        <v>0</v>
      </c>
      <c r="Y146" s="35">
        <v>0</v>
      </c>
      <c r="Z146" s="34">
        <v>0</v>
      </c>
      <c r="AA146" s="33">
        <f t="shared" si="19"/>
        <v>1</v>
      </c>
      <c r="AB146" s="169" t="s">
        <v>61</v>
      </c>
      <c r="AC146" s="79"/>
      <c r="AD146" s="79"/>
      <c r="AE146" s="1"/>
      <c r="AF146" s="1"/>
      <c r="AG146" s="1"/>
      <c r="AH146" s="1"/>
    </row>
    <row r="147" spans="1:34">
      <c r="A147" s="32">
        <v>135</v>
      </c>
      <c r="B147" s="45"/>
      <c r="C147" s="168">
        <v>204</v>
      </c>
      <c r="D147" s="167">
        <v>204</v>
      </c>
      <c r="E147" s="80">
        <v>0.51</v>
      </c>
      <c r="F147" s="80">
        <v>0.51</v>
      </c>
      <c r="G147" s="80">
        <v>0.51</v>
      </c>
      <c r="H147" s="80">
        <v>0.51</v>
      </c>
      <c r="I147" s="80">
        <v>0.5</v>
      </c>
      <c r="J147" s="80"/>
      <c r="K147" s="166">
        <v>26.22</v>
      </c>
      <c r="L147" s="165">
        <v>26.4</v>
      </c>
      <c r="M147" s="41" t="s">
        <v>20</v>
      </c>
      <c r="N147" s="164" t="s">
        <v>22</v>
      </c>
      <c r="O147" s="45" t="s">
        <v>20</v>
      </c>
      <c r="P147" s="23"/>
      <c r="Q147" s="163" t="s">
        <v>21</v>
      </c>
      <c r="R147" s="162">
        <v>36.6</v>
      </c>
      <c r="S147" s="36">
        <f t="shared" si="16"/>
        <v>13.423518250439367</v>
      </c>
      <c r="T147" s="35">
        <v>3</v>
      </c>
      <c r="U147" s="35"/>
      <c r="V147" s="161">
        <v>135</v>
      </c>
      <c r="W147" s="160">
        <f t="shared" si="17"/>
        <v>1.0000000000000009E-2</v>
      </c>
      <c r="X147" s="35">
        <f t="shared" si="18"/>
        <v>0</v>
      </c>
      <c r="Y147" s="35">
        <v>0</v>
      </c>
      <c r="Z147" s="34">
        <v>0</v>
      </c>
      <c r="AA147" s="33">
        <f t="shared" si="19"/>
        <v>1</v>
      </c>
      <c r="AB147" s="150"/>
      <c r="AC147" s="79"/>
      <c r="AD147" s="79"/>
      <c r="AE147" s="1"/>
      <c r="AF147" s="1"/>
      <c r="AG147" s="1"/>
      <c r="AH147" s="1"/>
    </row>
    <row r="148" spans="1:34">
      <c r="A148" s="32">
        <v>136</v>
      </c>
      <c r="B148" s="45"/>
      <c r="C148" s="168">
        <v>204</v>
      </c>
      <c r="D148" s="167">
        <v>204</v>
      </c>
      <c r="E148" s="80">
        <v>0.49</v>
      </c>
      <c r="F148" s="80">
        <v>0.49</v>
      </c>
      <c r="G148" s="80">
        <v>0.49</v>
      </c>
      <c r="H148" s="80">
        <v>0.5</v>
      </c>
      <c r="I148" s="80">
        <v>0.5</v>
      </c>
      <c r="J148" s="80"/>
      <c r="K148" s="166">
        <v>26.5</v>
      </c>
      <c r="L148" s="165">
        <v>26.2</v>
      </c>
      <c r="M148" s="41" t="s">
        <v>20</v>
      </c>
      <c r="N148" s="164"/>
      <c r="O148" s="45"/>
      <c r="P148" s="23" t="s">
        <v>20</v>
      </c>
      <c r="Q148" s="163" t="s">
        <v>21</v>
      </c>
      <c r="R148" s="162">
        <v>36</v>
      </c>
      <c r="S148" s="36">
        <f t="shared" si="16"/>
        <v>13.557036486052297</v>
      </c>
      <c r="T148" s="35">
        <v>3</v>
      </c>
      <c r="U148" s="35"/>
      <c r="V148" s="161">
        <v>136</v>
      </c>
      <c r="W148" s="160">
        <f t="shared" si="17"/>
        <v>1.0000000000000009E-2</v>
      </c>
      <c r="X148" s="35">
        <f t="shared" si="18"/>
        <v>0</v>
      </c>
      <c r="Y148" s="35">
        <v>0</v>
      </c>
      <c r="Z148" s="34">
        <v>0</v>
      </c>
      <c r="AA148" s="33">
        <f t="shared" si="19"/>
        <v>0</v>
      </c>
      <c r="AB148" s="150"/>
      <c r="AC148" s="79"/>
      <c r="AD148" s="79"/>
      <c r="AE148" s="1"/>
      <c r="AF148" s="1"/>
      <c r="AG148" s="1"/>
      <c r="AH148" s="1"/>
    </row>
    <row r="149" spans="1:34">
      <c r="A149" s="44">
        <v>137</v>
      </c>
      <c r="B149" s="45"/>
      <c r="C149" s="168">
        <v>204</v>
      </c>
      <c r="D149" s="167">
        <v>204</v>
      </c>
      <c r="E149" s="80">
        <v>0.5</v>
      </c>
      <c r="F149" s="80">
        <v>0.5</v>
      </c>
      <c r="G149" s="80">
        <v>0.51</v>
      </c>
      <c r="H149" s="80">
        <v>0.51</v>
      </c>
      <c r="I149" s="80">
        <v>0.51</v>
      </c>
      <c r="J149" s="80"/>
      <c r="K149" s="166">
        <v>26.4</v>
      </c>
      <c r="L149" s="165">
        <v>26.23</v>
      </c>
      <c r="M149" s="41"/>
      <c r="N149" s="164"/>
      <c r="O149" s="45" t="s">
        <v>22</v>
      </c>
      <c r="P149" s="23" t="s">
        <v>22</v>
      </c>
      <c r="Q149" s="123" t="s">
        <v>50</v>
      </c>
      <c r="R149" s="162">
        <v>36.6</v>
      </c>
      <c r="S149" s="36">
        <f t="shared" si="16"/>
        <v>13.474015008639054</v>
      </c>
      <c r="T149" s="35">
        <v>3</v>
      </c>
      <c r="U149" s="35"/>
      <c r="V149" s="172">
        <v>137</v>
      </c>
      <c r="W149" s="160">
        <f t="shared" si="17"/>
        <v>1.0000000000000009E-2</v>
      </c>
      <c r="X149" s="35">
        <f t="shared" si="18"/>
        <v>0</v>
      </c>
      <c r="Y149" s="35">
        <v>0</v>
      </c>
      <c r="Z149" s="34">
        <v>0</v>
      </c>
      <c r="AA149" s="33">
        <f t="shared" si="19"/>
        <v>1</v>
      </c>
      <c r="AB149" s="169" t="s">
        <v>61</v>
      </c>
      <c r="AC149" s="79"/>
      <c r="AD149" s="79"/>
      <c r="AE149" s="1"/>
      <c r="AF149" s="1"/>
      <c r="AG149" s="1"/>
      <c r="AH149" s="1"/>
    </row>
    <row r="150" spans="1:34">
      <c r="A150" s="32">
        <v>138</v>
      </c>
      <c r="B150" s="45"/>
      <c r="C150" s="168">
        <v>204</v>
      </c>
      <c r="D150" s="167">
        <v>204</v>
      </c>
      <c r="E150" s="80">
        <v>0.5</v>
      </c>
      <c r="F150" s="80">
        <v>0.5</v>
      </c>
      <c r="G150" s="80">
        <v>0.5</v>
      </c>
      <c r="H150" s="80">
        <v>0.5</v>
      </c>
      <c r="I150" s="80">
        <v>0.5</v>
      </c>
      <c r="J150" s="80"/>
      <c r="K150" s="166">
        <v>26.25</v>
      </c>
      <c r="L150" s="165">
        <v>26.4</v>
      </c>
      <c r="M150" s="41"/>
      <c r="N150" s="164"/>
      <c r="O150" s="45" t="s">
        <v>20</v>
      </c>
      <c r="P150" s="23" t="s">
        <v>20</v>
      </c>
      <c r="Q150" s="163" t="s">
        <v>21</v>
      </c>
      <c r="R150" s="162">
        <v>36.6</v>
      </c>
      <c r="S150" s="36">
        <f t="shared" si="16"/>
        <v>13.630523434445003</v>
      </c>
      <c r="T150" s="35">
        <v>3</v>
      </c>
      <c r="U150" s="35"/>
      <c r="V150" s="161">
        <v>138</v>
      </c>
      <c r="W150" s="160">
        <f t="shared" si="17"/>
        <v>0</v>
      </c>
      <c r="X150" s="35">
        <f t="shared" si="18"/>
        <v>0</v>
      </c>
      <c r="Y150" s="35">
        <v>0</v>
      </c>
      <c r="Z150" s="34">
        <v>0</v>
      </c>
      <c r="AA150" s="33">
        <f t="shared" si="19"/>
        <v>0</v>
      </c>
      <c r="AB150" s="150"/>
      <c r="AC150" s="79"/>
      <c r="AD150" s="79"/>
      <c r="AE150" s="1"/>
      <c r="AF150" s="1"/>
      <c r="AG150" s="1"/>
      <c r="AH150" s="1"/>
    </row>
    <row r="151" spans="1:34">
      <c r="A151" s="32">
        <v>139</v>
      </c>
      <c r="B151" s="45" t="s">
        <v>60</v>
      </c>
      <c r="C151" s="168">
        <v>204</v>
      </c>
      <c r="D151" s="167">
        <v>204</v>
      </c>
      <c r="E151" s="80">
        <v>0.49</v>
      </c>
      <c r="F151" s="80">
        <v>0.49</v>
      </c>
      <c r="G151" s="80">
        <v>0.49</v>
      </c>
      <c r="H151" s="80">
        <v>0.5</v>
      </c>
      <c r="I151" s="80">
        <v>0.5</v>
      </c>
      <c r="J151" s="80"/>
      <c r="K151" s="166">
        <v>26.25</v>
      </c>
      <c r="L151" s="165">
        <v>26.27</v>
      </c>
      <c r="M151" s="41"/>
      <c r="N151" s="164"/>
      <c r="O151" s="45"/>
      <c r="P151" s="23"/>
      <c r="Q151" s="123"/>
      <c r="R151" s="162">
        <v>36</v>
      </c>
      <c r="S151" s="36">
        <f t="shared" si="16"/>
        <v>13.603500053597793</v>
      </c>
      <c r="T151" s="35">
        <v>3</v>
      </c>
      <c r="U151" s="35"/>
      <c r="V151" s="161">
        <v>139</v>
      </c>
      <c r="W151" s="160">
        <f t="shared" si="17"/>
        <v>1.0000000000000009E-2</v>
      </c>
      <c r="X151" s="35">
        <f t="shared" si="18"/>
        <v>0</v>
      </c>
      <c r="Y151" s="35">
        <v>0</v>
      </c>
      <c r="Z151" s="34">
        <v>0</v>
      </c>
      <c r="AA151" s="33">
        <f t="shared" si="19"/>
        <v>0</v>
      </c>
      <c r="AB151" s="150"/>
      <c r="AC151" s="79"/>
      <c r="AD151" s="79"/>
      <c r="AE151" s="1"/>
      <c r="AF151" s="1"/>
      <c r="AG151" s="1"/>
      <c r="AH151" s="1"/>
    </row>
    <row r="152" spans="1:34">
      <c r="A152" s="32">
        <v>140</v>
      </c>
      <c r="B152" s="45"/>
      <c r="C152" s="168">
        <v>204</v>
      </c>
      <c r="D152" s="167">
        <v>204</v>
      </c>
      <c r="E152" s="80">
        <v>0.51</v>
      </c>
      <c r="F152" s="80">
        <v>0.51</v>
      </c>
      <c r="G152" s="80">
        <v>0.51</v>
      </c>
      <c r="H152" s="80">
        <v>0.51</v>
      </c>
      <c r="I152" s="80">
        <v>0.51</v>
      </c>
      <c r="J152" s="80"/>
      <c r="K152" s="166">
        <v>26.23</v>
      </c>
      <c r="L152" s="165">
        <v>26.49</v>
      </c>
      <c r="M152" s="41"/>
      <c r="N152" s="164"/>
      <c r="O152" s="45"/>
      <c r="P152" s="23"/>
      <c r="Q152" s="123"/>
      <c r="R152" s="162">
        <v>37</v>
      </c>
      <c r="S152" s="36">
        <f t="shared" si="16"/>
        <v>13.491367566694029</v>
      </c>
      <c r="T152" s="35">
        <v>3</v>
      </c>
      <c r="U152" s="35"/>
      <c r="V152" s="161">
        <v>140</v>
      </c>
      <c r="W152" s="160">
        <f t="shared" si="17"/>
        <v>0</v>
      </c>
      <c r="X152" s="35">
        <f t="shared" si="18"/>
        <v>0</v>
      </c>
      <c r="Y152" s="35">
        <v>0</v>
      </c>
      <c r="Z152" s="34">
        <v>0</v>
      </c>
      <c r="AA152" s="33">
        <f t="shared" si="19"/>
        <v>0</v>
      </c>
      <c r="AB152" s="150"/>
      <c r="AC152" s="79"/>
      <c r="AD152" s="79"/>
      <c r="AE152" s="1"/>
      <c r="AF152" s="1"/>
      <c r="AG152" s="1"/>
      <c r="AH152" s="1"/>
    </row>
    <row r="153" spans="1:34">
      <c r="A153" s="44">
        <v>141</v>
      </c>
      <c r="B153" s="45"/>
      <c r="C153" s="168">
        <v>204</v>
      </c>
      <c r="D153" s="167">
        <v>204</v>
      </c>
      <c r="E153" s="171">
        <v>0.51</v>
      </c>
      <c r="F153" s="171">
        <v>0.51</v>
      </c>
      <c r="G153" s="171">
        <v>0.51</v>
      </c>
      <c r="H153" s="171">
        <v>0.5</v>
      </c>
      <c r="I153" s="171">
        <v>0.49</v>
      </c>
      <c r="J153" s="170"/>
      <c r="K153" s="166">
        <v>26.25</v>
      </c>
      <c r="L153" s="165">
        <v>26.5</v>
      </c>
      <c r="M153" s="41"/>
      <c r="N153" s="164"/>
      <c r="O153" s="45"/>
      <c r="P153" s="23" t="s">
        <v>20</v>
      </c>
      <c r="Q153" s="123"/>
      <c r="R153" s="162">
        <v>36.5</v>
      </c>
      <c r="S153" s="36">
        <f t="shared" si="16"/>
        <v>13.459833643831413</v>
      </c>
      <c r="T153" s="35">
        <v>3</v>
      </c>
      <c r="U153" s="35"/>
      <c r="V153" s="161">
        <v>141</v>
      </c>
      <c r="W153" s="160">
        <f t="shared" si="17"/>
        <v>2.0000000000000018E-2</v>
      </c>
      <c r="X153" s="35">
        <f t="shared" si="18"/>
        <v>0</v>
      </c>
      <c r="Y153" s="35">
        <v>0</v>
      </c>
      <c r="Z153" s="34">
        <v>0</v>
      </c>
      <c r="AA153" s="33">
        <f t="shared" si="19"/>
        <v>0</v>
      </c>
      <c r="AB153" s="169" t="s">
        <v>58</v>
      </c>
      <c r="AC153" s="79">
        <v>0.51</v>
      </c>
      <c r="AD153" s="79">
        <v>0.49</v>
      </c>
      <c r="AE153" s="79">
        <v>0.5</v>
      </c>
      <c r="AF153" s="79">
        <v>0.49</v>
      </c>
      <c r="AG153" s="79">
        <v>0.5</v>
      </c>
      <c r="AH153" s="79">
        <v>0.48</v>
      </c>
    </row>
    <row r="154" spans="1:34">
      <c r="A154" s="44">
        <v>142</v>
      </c>
      <c r="B154" s="45" t="s">
        <v>59</v>
      </c>
      <c r="C154" s="168">
        <v>204</v>
      </c>
      <c r="D154" s="167">
        <v>204</v>
      </c>
      <c r="E154" s="171">
        <v>0.51</v>
      </c>
      <c r="F154" s="171">
        <v>0.51</v>
      </c>
      <c r="G154" s="171">
        <v>0.51</v>
      </c>
      <c r="H154" s="171">
        <v>0.51</v>
      </c>
      <c r="I154" s="171">
        <v>0.49</v>
      </c>
      <c r="J154" s="170"/>
      <c r="K154" s="166">
        <v>26.28</v>
      </c>
      <c r="L154" s="165">
        <v>26.39</v>
      </c>
      <c r="M154" s="41"/>
      <c r="N154" s="164" t="s">
        <v>20</v>
      </c>
      <c r="O154" s="45"/>
      <c r="P154" s="23"/>
      <c r="Q154" s="123"/>
      <c r="R154" s="162">
        <v>37</v>
      </c>
      <c r="S154" s="36">
        <f t="shared" si="16"/>
        <v>13.610927388115563</v>
      </c>
      <c r="T154" s="35">
        <v>3</v>
      </c>
      <c r="U154" s="35"/>
      <c r="V154" s="161">
        <v>142</v>
      </c>
      <c r="W154" s="160">
        <f t="shared" si="17"/>
        <v>2.0000000000000018E-2</v>
      </c>
      <c r="X154" s="35">
        <f t="shared" si="18"/>
        <v>0</v>
      </c>
      <c r="Y154" s="35">
        <v>0</v>
      </c>
      <c r="Z154" s="34">
        <v>0</v>
      </c>
      <c r="AA154" s="33">
        <f t="shared" si="19"/>
        <v>0</v>
      </c>
      <c r="AB154" s="169" t="s">
        <v>58</v>
      </c>
      <c r="AC154" s="79">
        <v>0.51</v>
      </c>
      <c r="AD154" s="79">
        <v>0.51</v>
      </c>
      <c r="AE154" s="79">
        <v>0.51</v>
      </c>
      <c r="AF154" s="79">
        <v>0.51</v>
      </c>
      <c r="AG154" s="79">
        <v>0.5</v>
      </c>
      <c r="AH154" s="79">
        <v>0.49</v>
      </c>
    </row>
    <row r="155" spans="1:34">
      <c r="A155" s="32">
        <v>143</v>
      </c>
      <c r="B155" s="45"/>
      <c r="C155" s="168">
        <v>204</v>
      </c>
      <c r="D155" s="167">
        <v>204</v>
      </c>
      <c r="E155" s="80">
        <v>0.51</v>
      </c>
      <c r="F155" s="80">
        <v>0.51</v>
      </c>
      <c r="G155" s="80">
        <v>0.51</v>
      </c>
      <c r="H155" s="80">
        <v>0.51</v>
      </c>
      <c r="I155" s="80">
        <v>0.5</v>
      </c>
      <c r="J155" s="80"/>
      <c r="K155" s="166">
        <v>26.2</v>
      </c>
      <c r="L155" s="165">
        <v>26.48</v>
      </c>
      <c r="M155" s="41" t="s">
        <v>20</v>
      </c>
      <c r="N155" s="164" t="s">
        <v>20</v>
      </c>
      <c r="O155" s="45"/>
      <c r="P155" s="23" t="s">
        <v>20</v>
      </c>
      <c r="Q155" s="123" t="s">
        <v>50</v>
      </c>
      <c r="R155" s="162">
        <v>36.700000000000003</v>
      </c>
      <c r="S155" s="36">
        <f t="shared" si="16"/>
        <v>13.444864012124439</v>
      </c>
      <c r="T155" s="35">
        <v>3</v>
      </c>
      <c r="U155" s="35"/>
      <c r="V155" s="161">
        <v>143</v>
      </c>
      <c r="W155" s="160">
        <f t="shared" si="17"/>
        <v>1.0000000000000009E-2</v>
      </c>
      <c r="X155" s="35">
        <f t="shared" si="18"/>
        <v>0</v>
      </c>
      <c r="Y155" s="35">
        <v>0</v>
      </c>
      <c r="Z155" s="34">
        <v>0</v>
      </c>
      <c r="AA155" s="33">
        <f t="shared" si="19"/>
        <v>0</v>
      </c>
      <c r="AB155" s="150"/>
      <c r="AC155" s="79"/>
      <c r="AD155" s="79"/>
      <c r="AE155" s="1"/>
      <c r="AF155" s="1"/>
      <c r="AG155" s="1"/>
      <c r="AH155" s="1"/>
    </row>
    <row r="156" spans="1:34">
      <c r="A156" s="32">
        <v>144</v>
      </c>
      <c r="B156" s="45"/>
      <c r="C156" s="168">
        <v>204</v>
      </c>
      <c r="D156" s="167">
        <v>204</v>
      </c>
      <c r="E156" s="80">
        <v>0.5</v>
      </c>
      <c r="F156" s="80">
        <v>0.5</v>
      </c>
      <c r="G156" s="80">
        <v>0.51</v>
      </c>
      <c r="H156" s="80">
        <v>0.5</v>
      </c>
      <c r="I156" s="80">
        <v>0.5</v>
      </c>
      <c r="J156" s="80"/>
      <c r="K156" s="166">
        <v>26.31</v>
      </c>
      <c r="L156" s="165">
        <v>26.08</v>
      </c>
      <c r="M156" s="41"/>
      <c r="N156" s="164" t="s">
        <v>20</v>
      </c>
      <c r="O156" s="45" t="s">
        <v>22</v>
      </c>
      <c r="P156" s="23" t="s">
        <v>20</v>
      </c>
      <c r="Q156" s="163" t="s">
        <v>21</v>
      </c>
      <c r="R156" s="162">
        <v>36.5</v>
      </c>
      <c r="S156" s="36">
        <f t="shared" si="16"/>
        <v>13.60631675454707</v>
      </c>
      <c r="T156" s="35">
        <v>3</v>
      </c>
      <c r="U156" s="35"/>
      <c r="V156" s="161">
        <v>144</v>
      </c>
      <c r="W156" s="160">
        <f t="shared" si="17"/>
        <v>1.0000000000000009E-2</v>
      </c>
      <c r="X156" s="35">
        <f t="shared" si="18"/>
        <v>0</v>
      </c>
      <c r="Y156" s="35">
        <v>0</v>
      </c>
      <c r="Z156" s="34">
        <v>0</v>
      </c>
      <c r="AA156" s="33">
        <f t="shared" si="19"/>
        <v>1</v>
      </c>
      <c r="AB156" s="150"/>
      <c r="AC156" s="79"/>
      <c r="AD156" s="79"/>
      <c r="AE156" s="1"/>
      <c r="AF156" s="1"/>
      <c r="AG156" s="1"/>
      <c r="AH156" s="1"/>
    </row>
    <row r="157" spans="1:34">
      <c r="A157" s="32">
        <v>145</v>
      </c>
      <c r="B157" s="45"/>
      <c r="C157" s="168">
        <v>204</v>
      </c>
      <c r="D157" s="167">
        <v>204</v>
      </c>
      <c r="E157" s="80">
        <v>0.5</v>
      </c>
      <c r="F157" s="80">
        <v>0.5</v>
      </c>
      <c r="G157" s="80">
        <v>0.5</v>
      </c>
      <c r="H157" s="80">
        <v>0.5</v>
      </c>
      <c r="I157" s="80">
        <v>0.5</v>
      </c>
      <c r="J157" s="80"/>
      <c r="K157" s="166">
        <v>26.13</v>
      </c>
      <c r="L157" s="165">
        <v>26.39</v>
      </c>
      <c r="M157" s="41" t="s">
        <v>20</v>
      </c>
      <c r="N157" s="164" t="s">
        <v>20</v>
      </c>
      <c r="O157" s="45"/>
      <c r="P157" s="23"/>
      <c r="Q157" s="123"/>
      <c r="R157" s="162">
        <v>36.5</v>
      </c>
      <c r="S157" s="36">
        <f t="shared" si="16"/>
        <v>13.626928303690097</v>
      </c>
      <c r="T157" s="35">
        <v>3</v>
      </c>
      <c r="U157" s="35"/>
      <c r="V157" s="161">
        <v>145</v>
      </c>
      <c r="W157" s="160">
        <f t="shared" si="17"/>
        <v>0</v>
      </c>
      <c r="X157" s="35">
        <f t="shared" si="18"/>
        <v>0</v>
      </c>
      <c r="Y157" s="35">
        <v>0</v>
      </c>
      <c r="Z157" s="34">
        <v>0</v>
      </c>
      <c r="AA157" s="33">
        <f t="shared" si="19"/>
        <v>0</v>
      </c>
      <c r="AB157" s="150"/>
      <c r="AC157" s="79"/>
      <c r="AD157" s="79"/>
      <c r="AE157" s="1"/>
      <c r="AF157" s="1"/>
      <c r="AG157" s="1"/>
      <c r="AH157" s="1"/>
    </row>
    <row r="158" spans="1:34">
      <c r="A158" s="32">
        <v>146</v>
      </c>
      <c r="B158" s="45"/>
      <c r="C158" s="168">
        <v>204</v>
      </c>
      <c r="D158" s="167">
        <v>204</v>
      </c>
      <c r="E158" s="80">
        <v>0.49</v>
      </c>
      <c r="F158" s="80">
        <v>0.49</v>
      </c>
      <c r="G158" s="80">
        <v>0.49</v>
      </c>
      <c r="H158" s="80">
        <v>0.49</v>
      </c>
      <c r="I158" s="80">
        <v>0.49</v>
      </c>
      <c r="J158" s="80"/>
      <c r="K158" s="166">
        <v>26.37</v>
      </c>
      <c r="L158" s="165">
        <v>26.22</v>
      </c>
      <c r="M158" s="41"/>
      <c r="N158" s="164" t="s">
        <v>20</v>
      </c>
      <c r="O158" s="45" t="s">
        <v>20</v>
      </c>
      <c r="P158" s="23"/>
      <c r="Q158" s="163" t="s">
        <v>21</v>
      </c>
      <c r="R158" s="162">
        <v>35.1</v>
      </c>
      <c r="S158" s="36">
        <f t="shared" si="16"/>
        <v>13.353886905589389</v>
      </c>
      <c r="T158" s="35">
        <v>3</v>
      </c>
      <c r="U158" s="35"/>
      <c r="V158" s="161">
        <v>146</v>
      </c>
      <c r="W158" s="160">
        <f t="shared" si="17"/>
        <v>0</v>
      </c>
      <c r="X158" s="35">
        <f t="shared" si="18"/>
        <v>0</v>
      </c>
      <c r="Y158" s="35">
        <v>0</v>
      </c>
      <c r="Z158" s="34">
        <v>0</v>
      </c>
      <c r="AA158" s="33">
        <f t="shared" si="19"/>
        <v>0</v>
      </c>
      <c r="AB158" s="150"/>
      <c r="AC158" s="79"/>
      <c r="AD158" s="79"/>
      <c r="AE158" s="1"/>
      <c r="AF158" s="1"/>
      <c r="AG158" s="1"/>
      <c r="AH158" s="1"/>
    </row>
    <row r="159" spans="1:34">
      <c r="A159" s="32">
        <v>147</v>
      </c>
      <c r="B159" s="45"/>
      <c r="C159" s="168">
        <v>204</v>
      </c>
      <c r="D159" s="167">
        <v>204</v>
      </c>
      <c r="E159" s="80">
        <v>0.51</v>
      </c>
      <c r="F159" s="80">
        <v>0.51</v>
      </c>
      <c r="G159" s="80">
        <v>0.51</v>
      </c>
      <c r="H159" s="80">
        <v>0.51</v>
      </c>
      <c r="I159" s="80">
        <v>0.5</v>
      </c>
      <c r="J159" s="80"/>
      <c r="K159" s="166">
        <v>26.11</v>
      </c>
      <c r="L159" s="165">
        <v>26.43</v>
      </c>
      <c r="M159" s="41" t="s">
        <v>20</v>
      </c>
      <c r="N159" s="164"/>
      <c r="O159" s="45"/>
      <c r="P159" s="23"/>
      <c r="Q159" s="123"/>
      <c r="R159" s="162">
        <v>36.700000000000003</v>
      </c>
      <c r="S159" s="36">
        <f t="shared" si="16"/>
        <v>13.480689687071099</v>
      </c>
      <c r="T159" s="35">
        <v>3</v>
      </c>
      <c r="U159" s="35"/>
      <c r="V159" s="161">
        <v>147</v>
      </c>
      <c r="W159" s="160">
        <f t="shared" si="17"/>
        <v>1.0000000000000009E-2</v>
      </c>
      <c r="X159" s="35">
        <f t="shared" si="18"/>
        <v>0</v>
      </c>
      <c r="Y159" s="35">
        <v>0</v>
      </c>
      <c r="Z159" s="34">
        <v>0</v>
      </c>
      <c r="AA159" s="33">
        <f t="shared" si="19"/>
        <v>0</v>
      </c>
      <c r="AB159" s="150"/>
      <c r="AC159" s="79"/>
      <c r="AD159" s="79"/>
      <c r="AE159" s="1"/>
      <c r="AF159" s="1"/>
      <c r="AG159" s="1"/>
      <c r="AH159" s="1"/>
    </row>
    <row r="160" spans="1:34">
      <c r="A160" s="32">
        <v>148</v>
      </c>
      <c r="B160" s="45"/>
      <c r="C160" s="168">
        <v>204</v>
      </c>
      <c r="D160" s="167">
        <v>204</v>
      </c>
      <c r="E160" s="80">
        <v>0.5</v>
      </c>
      <c r="F160" s="80">
        <v>0.5</v>
      </c>
      <c r="G160" s="80">
        <v>0.5</v>
      </c>
      <c r="H160" s="80">
        <v>0.5</v>
      </c>
      <c r="I160" s="80">
        <v>0.5</v>
      </c>
      <c r="J160" s="80"/>
      <c r="K160" s="166">
        <v>26.18</v>
      </c>
      <c r="L160" s="165">
        <v>26.44</v>
      </c>
      <c r="M160" s="41"/>
      <c r="N160" s="164"/>
      <c r="O160" s="45" t="s">
        <v>20</v>
      </c>
      <c r="P160" s="23"/>
      <c r="Q160" s="123"/>
      <c r="R160" s="162">
        <v>36</v>
      </c>
      <c r="S160" s="36">
        <f t="shared" si="16"/>
        <v>13.414715943389897</v>
      </c>
      <c r="T160" s="35">
        <v>3</v>
      </c>
      <c r="U160" s="35"/>
      <c r="V160" s="161">
        <v>148</v>
      </c>
      <c r="W160" s="160">
        <f t="shared" si="17"/>
        <v>0</v>
      </c>
      <c r="X160" s="35">
        <f t="shared" si="18"/>
        <v>0</v>
      </c>
      <c r="Y160" s="35">
        <v>0</v>
      </c>
      <c r="Z160" s="34">
        <v>0</v>
      </c>
      <c r="AA160" s="33">
        <f t="shared" si="19"/>
        <v>0</v>
      </c>
      <c r="AB160" s="150"/>
      <c r="AC160" s="79"/>
      <c r="AD160" s="79"/>
      <c r="AE160" s="1"/>
      <c r="AF160" s="1"/>
      <c r="AG160" s="1"/>
      <c r="AH160" s="1"/>
    </row>
    <row r="161" spans="1:34">
      <c r="A161" s="32">
        <v>149</v>
      </c>
      <c r="B161" s="45"/>
      <c r="C161" s="168">
        <v>204</v>
      </c>
      <c r="D161" s="167">
        <v>204</v>
      </c>
      <c r="E161" s="80">
        <v>0.51</v>
      </c>
      <c r="F161" s="80">
        <v>0.51</v>
      </c>
      <c r="G161" s="80">
        <v>0.51</v>
      </c>
      <c r="H161" s="80">
        <v>0.51</v>
      </c>
      <c r="I161" s="80">
        <v>0.51</v>
      </c>
      <c r="J161" s="80"/>
      <c r="K161" s="166">
        <v>26.12</v>
      </c>
      <c r="L161" s="165">
        <v>26.13</v>
      </c>
      <c r="M161" s="41"/>
      <c r="N161" s="164"/>
      <c r="O161" s="45" t="s">
        <v>22</v>
      </c>
      <c r="P161" s="23" t="s">
        <v>20</v>
      </c>
      <c r="Q161" s="163" t="s">
        <v>21</v>
      </c>
      <c r="R161" s="162">
        <v>36.299999999999997</v>
      </c>
      <c r="S161" s="36">
        <f t="shared" si="16"/>
        <v>13.355187276148849</v>
      </c>
      <c r="T161" s="35">
        <v>3</v>
      </c>
      <c r="U161" s="35"/>
      <c r="V161" s="161">
        <v>149</v>
      </c>
      <c r="W161" s="160">
        <f t="shared" si="17"/>
        <v>0</v>
      </c>
      <c r="X161" s="35">
        <f t="shared" si="18"/>
        <v>0</v>
      </c>
      <c r="Y161" s="35">
        <v>0</v>
      </c>
      <c r="Z161" s="34">
        <v>0</v>
      </c>
      <c r="AA161" s="33">
        <f t="shared" si="19"/>
        <v>1</v>
      </c>
      <c r="AB161" s="150"/>
      <c r="AC161" s="79"/>
      <c r="AD161" s="79"/>
      <c r="AE161" s="1"/>
      <c r="AF161" s="1"/>
      <c r="AG161" s="1"/>
      <c r="AH161" s="1"/>
    </row>
    <row r="162" spans="1:34">
      <c r="A162" s="32">
        <v>150</v>
      </c>
      <c r="B162" s="45"/>
      <c r="C162" s="168">
        <v>204</v>
      </c>
      <c r="D162" s="167">
        <v>204</v>
      </c>
      <c r="E162" s="80">
        <v>0.48</v>
      </c>
      <c r="F162" s="80">
        <v>0.48</v>
      </c>
      <c r="G162" s="80">
        <v>0.49</v>
      </c>
      <c r="H162" s="80">
        <v>0.49</v>
      </c>
      <c r="I162" s="80">
        <v>0.49</v>
      </c>
      <c r="J162" s="80"/>
      <c r="K162" s="166">
        <v>26.33</v>
      </c>
      <c r="L162" s="165">
        <v>26.26</v>
      </c>
      <c r="M162" s="41"/>
      <c r="N162" s="164"/>
      <c r="O162" s="45" t="s">
        <v>20</v>
      </c>
      <c r="P162" s="23"/>
      <c r="Q162" s="123"/>
      <c r="R162" s="162">
        <v>34.799999999999997</v>
      </c>
      <c r="S162" s="36">
        <f t="shared" si="16"/>
        <v>13.348720265092695</v>
      </c>
      <c r="T162" s="35">
        <v>3</v>
      </c>
      <c r="U162" s="35"/>
      <c r="V162" s="161">
        <v>150</v>
      </c>
      <c r="W162" s="160">
        <f t="shared" si="17"/>
        <v>1.0000000000000009E-2</v>
      </c>
      <c r="X162" s="35">
        <f t="shared" si="18"/>
        <v>0</v>
      </c>
      <c r="Y162" s="35">
        <v>0</v>
      </c>
      <c r="Z162" s="34">
        <v>0</v>
      </c>
      <c r="AA162" s="33">
        <f t="shared" si="19"/>
        <v>0</v>
      </c>
      <c r="AB162" s="150"/>
      <c r="AC162" s="79"/>
      <c r="AD162" s="79"/>
      <c r="AE162" s="1"/>
      <c r="AF162" s="1"/>
      <c r="AG162" s="1"/>
      <c r="AH162" s="1"/>
    </row>
    <row r="163" spans="1:34">
      <c r="A163" s="32">
        <v>151</v>
      </c>
      <c r="B163" s="45"/>
      <c r="C163" s="168">
        <v>204</v>
      </c>
      <c r="D163" s="167">
        <v>204</v>
      </c>
      <c r="E163" s="80">
        <v>0.5</v>
      </c>
      <c r="F163" s="80">
        <v>0.5</v>
      </c>
      <c r="G163" s="80">
        <v>0.51</v>
      </c>
      <c r="H163" s="80">
        <v>0.51</v>
      </c>
      <c r="I163" s="80">
        <v>0.51</v>
      </c>
      <c r="J163" s="80"/>
      <c r="K163" s="166">
        <v>26.3</v>
      </c>
      <c r="L163" s="165">
        <v>26.23</v>
      </c>
      <c r="M163" s="41"/>
      <c r="N163" s="164" t="s">
        <v>22</v>
      </c>
      <c r="O163" s="45"/>
      <c r="P163" s="23"/>
      <c r="Q163" s="163" t="s">
        <v>21</v>
      </c>
      <c r="R163" s="162">
        <v>35.9</v>
      </c>
      <c r="S163" s="36">
        <f t="shared" si="16"/>
        <v>13.241474824990854</v>
      </c>
      <c r="T163" s="35">
        <v>3</v>
      </c>
      <c r="U163" s="35"/>
      <c r="V163" s="161">
        <v>151</v>
      </c>
      <c r="W163" s="160">
        <f t="shared" si="17"/>
        <v>1.0000000000000009E-2</v>
      </c>
      <c r="X163" s="35">
        <f t="shared" si="18"/>
        <v>0</v>
      </c>
      <c r="Y163" s="35">
        <v>0</v>
      </c>
      <c r="Z163" s="34">
        <v>0</v>
      </c>
      <c r="AA163" s="33">
        <f t="shared" si="19"/>
        <v>1</v>
      </c>
      <c r="AB163" s="150"/>
      <c r="AC163" s="79"/>
      <c r="AD163" s="79"/>
      <c r="AE163" s="1"/>
      <c r="AF163" s="1"/>
      <c r="AG163" s="1"/>
      <c r="AH163" s="1"/>
    </row>
    <row r="164" spans="1:34">
      <c r="A164" s="32">
        <v>152</v>
      </c>
      <c r="B164" s="45"/>
      <c r="C164" s="168">
        <v>204</v>
      </c>
      <c r="D164" s="167">
        <v>204</v>
      </c>
      <c r="E164" s="80">
        <v>0.51</v>
      </c>
      <c r="F164" s="80">
        <v>0.51</v>
      </c>
      <c r="G164" s="80">
        <v>0.51</v>
      </c>
      <c r="H164" s="80">
        <v>0.51</v>
      </c>
      <c r="I164" s="80">
        <v>0.51</v>
      </c>
      <c r="J164" s="80"/>
      <c r="K164" s="166">
        <v>26.3</v>
      </c>
      <c r="L164" s="165">
        <v>26.16</v>
      </c>
      <c r="M164" s="41"/>
      <c r="N164" s="164" t="s">
        <v>20</v>
      </c>
      <c r="O164" s="45" t="s">
        <v>22</v>
      </c>
      <c r="P164" s="23"/>
      <c r="Q164" s="163" t="s">
        <v>19</v>
      </c>
      <c r="R164" s="162">
        <v>36.4</v>
      </c>
      <c r="S164" s="36">
        <f t="shared" si="16"/>
        <v>13.338369667198883</v>
      </c>
      <c r="T164" s="35">
        <v>3</v>
      </c>
      <c r="U164" s="35"/>
      <c r="V164" s="161">
        <v>152</v>
      </c>
      <c r="W164" s="160">
        <f t="shared" si="17"/>
        <v>0</v>
      </c>
      <c r="X164" s="35">
        <f t="shared" si="18"/>
        <v>0</v>
      </c>
      <c r="Y164" s="35">
        <v>0</v>
      </c>
      <c r="Z164" s="34">
        <v>0</v>
      </c>
      <c r="AA164" s="33">
        <f t="shared" si="19"/>
        <v>1</v>
      </c>
      <c r="AB164" s="150"/>
      <c r="AC164" s="79"/>
      <c r="AD164" s="79"/>
      <c r="AE164" s="1"/>
      <c r="AF164" s="1"/>
      <c r="AG164" s="1"/>
      <c r="AH164" s="1"/>
    </row>
    <row r="165" spans="1:34">
      <c r="A165" s="32">
        <v>153</v>
      </c>
      <c r="B165" s="45"/>
      <c r="C165" s="159">
        <v>204</v>
      </c>
      <c r="D165" s="158">
        <v>204</v>
      </c>
      <c r="E165" s="80">
        <v>0.51</v>
      </c>
      <c r="F165" s="80">
        <v>0.51</v>
      </c>
      <c r="G165" s="80">
        <v>0.51</v>
      </c>
      <c r="H165" s="80">
        <v>0.51</v>
      </c>
      <c r="I165" s="80">
        <v>0.51</v>
      </c>
      <c r="J165" s="80"/>
      <c r="K165" s="157">
        <v>26.42</v>
      </c>
      <c r="L165" s="156">
        <v>26.22</v>
      </c>
      <c r="M165" s="31"/>
      <c r="N165" s="155" t="s">
        <v>22</v>
      </c>
      <c r="O165" s="154"/>
      <c r="P165" s="107"/>
      <c r="Q165" s="153"/>
      <c r="R165" s="152">
        <v>37</v>
      </c>
      <c r="S165" s="20">
        <f t="shared" si="16"/>
        <v>13.511871164819702</v>
      </c>
      <c r="T165" s="19">
        <v>3</v>
      </c>
      <c r="U165" s="19"/>
      <c r="V165" s="67">
        <v>153</v>
      </c>
      <c r="W165" s="151">
        <f t="shared" si="17"/>
        <v>0</v>
      </c>
      <c r="X165" s="19">
        <f t="shared" si="18"/>
        <v>0</v>
      </c>
      <c r="Y165" s="19">
        <v>0</v>
      </c>
      <c r="Z165" s="18">
        <v>0</v>
      </c>
      <c r="AA165" s="17">
        <f t="shared" si="19"/>
        <v>1</v>
      </c>
      <c r="AB165" s="150"/>
      <c r="AC165" s="79"/>
      <c r="AD165" s="79"/>
      <c r="AE165" s="1"/>
      <c r="AF165" s="1"/>
      <c r="AG165" s="1"/>
      <c r="AH165" s="1"/>
    </row>
    <row r="166" spans="1:34" s="14" customFormat="1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>
        <f>SUM(X12:X165)</f>
        <v>0</v>
      </c>
      <c r="Y166" s="16">
        <f>SUM(Y12:Y165)</f>
        <v>1</v>
      </c>
      <c r="Z166" s="16">
        <f>SUM(Z12:Z165)</f>
        <v>0</v>
      </c>
      <c r="AA166" s="15">
        <f>SUM(AA13:AA165)</f>
        <v>39</v>
      </c>
      <c r="AB166" s="149"/>
      <c r="AC166" s="16"/>
      <c r="AD166" s="16"/>
      <c r="AE166" s="16"/>
      <c r="AF166" s="16"/>
      <c r="AG166" s="16"/>
      <c r="AH166" s="16"/>
    </row>
    <row r="167" spans="1:34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B167" s="148"/>
      <c r="AC167" s="1"/>
      <c r="AD167" s="1"/>
      <c r="AE167" s="1"/>
      <c r="AF167" s="1"/>
      <c r="AG167" s="1"/>
      <c r="AH167" s="1"/>
    </row>
    <row r="168" spans="1:34">
      <c r="A168" s="12" t="s">
        <v>17</v>
      </c>
      <c r="B168" s="1"/>
      <c r="C168" s="1" t="s">
        <v>16</v>
      </c>
      <c r="D168" s="1"/>
      <c r="E168" s="1" t="s">
        <v>15</v>
      </c>
      <c r="F168" s="1"/>
      <c r="G168" s="1"/>
      <c r="H168" s="1"/>
      <c r="I168" s="1"/>
      <c r="J168" s="1"/>
      <c r="K168" s="1" t="s">
        <v>14</v>
      </c>
      <c r="L168" s="1"/>
      <c r="M168" s="1"/>
      <c r="N168" s="1"/>
      <c r="O168" s="1"/>
      <c r="P168" s="1"/>
      <c r="Q168" s="1"/>
      <c r="R168" s="1" t="s">
        <v>13</v>
      </c>
      <c r="S168" s="1" t="s">
        <v>12</v>
      </c>
      <c r="T168" s="1"/>
      <c r="U168" s="1"/>
      <c r="V168" s="1"/>
      <c r="W168" s="1"/>
      <c r="X168" s="1"/>
      <c r="Y168" s="1"/>
      <c r="Z168" s="1"/>
      <c r="AB168" s="148"/>
      <c r="AC168" s="1"/>
      <c r="AD168" s="1"/>
      <c r="AE168" s="1"/>
      <c r="AF168" s="1"/>
      <c r="AG168" s="1"/>
      <c r="AH168" s="1"/>
    </row>
    <row r="169" spans="1:34">
      <c r="A169" s="12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B169" s="148"/>
      <c r="AC169" s="1"/>
      <c r="AD169" s="1"/>
      <c r="AE169" s="1"/>
      <c r="AF169" s="1"/>
      <c r="AG169" s="1"/>
      <c r="AH169" s="1"/>
    </row>
    <row r="170" spans="1:34">
      <c r="A170" s="1" t="s">
        <v>11</v>
      </c>
      <c r="B170" s="1"/>
      <c r="C170" s="1">
        <f>8*25.4</f>
        <v>203.2</v>
      </c>
      <c r="D170" s="1"/>
      <c r="E170" s="1">
        <f>C6</f>
        <v>0.50800000000000001</v>
      </c>
      <c r="F170" s="1"/>
      <c r="G170" s="1"/>
      <c r="H170" s="1"/>
      <c r="I170" s="1"/>
      <c r="J170" s="1"/>
      <c r="K170" s="11">
        <v>25.4</v>
      </c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B170" s="148"/>
      <c r="AC170" s="1"/>
      <c r="AD170" s="1"/>
      <c r="AE170" s="1"/>
      <c r="AF170" s="1"/>
      <c r="AG170" s="1"/>
      <c r="AH170" s="1"/>
    </row>
    <row r="171" spans="1:34">
      <c r="A171" s="1" t="s">
        <v>10</v>
      </c>
      <c r="B171" s="1"/>
      <c r="C171" s="1">
        <f>MODE(C12:D165)</f>
        <v>204</v>
      </c>
      <c r="D171" s="1"/>
      <c r="E171" s="1">
        <f>MODE(E12:J165)</f>
        <v>0.5</v>
      </c>
      <c r="F171" s="1"/>
      <c r="G171" s="1"/>
      <c r="H171" s="1"/>
      <c r="I171" s="1"/>
      <c r="J171" s="1"/>
      <c r="K171" s="1">
        <f>MODE(K12:L165)</f>
        <v>26.26</v>
      </c>
      <c r="L171" s="1"/>
      <c r="M171" s="1"/>
      <c r="N171" s="1"/>
      <c r="O171" s="1"/>
      <c r="P171" s="1"/>
      <c r="Q171" s="1"/>
      <c r="R171" s="1">
        <f>MODE(R12:R165)</f>
        <v>36.6</v>
      </c>
      <c r="S171" s="7">
        <f>MODE(S12:S165)</f>
        <v>13.511871164819702</v>
      </c>
      <c r="T171" s="1"/>
      <c r="U171" s="1"/>
      <c r="V171" s="1"/>
      <c r="W171" s="1"/>
      <c r="X171" s="1"/>
      <c r="Y171" s="1"/>
      <c r="Z171" s="1"/>
      <c r="AB171" s="148"/>
      <c r="AC171" s="1"/>
      <c r="AD171" s="1"/>
      <c r="AE171" s="1"/>
      <c r="AF171" s="1"/>
      <c r="AG171" s="1"/>
      <c r="AH171" s="1"/>
    </row>
    <row r="172" spans="1:34">
      <c r="A172" s="1" t="s">
        <v>9</v>
      </c>
      <c r="B172" s="1"/>
      <c r="C172" s="10">
        <f>AVERAGE(C12:D165)</f>
        <v>204</v>
      </c>
      <c r="D172" s="10"/>
      <c r="E172" s="7">
        <f>AVERAGE(E12:J165)</f>
        <v>0.50045454545454471</v>
      </c>
      <c r="F172" s="1"/>
      <c r="G172" s="1"/>
      <c r="H172" s="1"/>
      <c r="I172" s="1"/>
      <c r="J172" s="1"/>
      <c r="K172" s="6">
        <f>AVERAGE(K12:L165)</f>
        <v>26.268246753246746</v>
      </c>
      <c r="L172" s="1"/>
      <c r="M172" s="1"/>
      <c r="N172" s="1"/>
      <c r="O172" s="1"/>
      <c r="P172" s="1"/>
      <c r="Q172" s="1"/>
      <c r="R172" s="9">
        <f>AVERAGE(R12:R165)</f>
        <v>36.11038961038961</v>
      </c>
      <c r="S172" s="9">
        <f>AVERAGE(S12:S165)</f>
        <v>13.464579014221188</v>
      </c>
      <c r="T172" s="1"/>
      <c r="U172" s="1"/>
      <c r="V172" s="1"/>
      <c r="W172" s="1"/>
      <c r="X172" s="1"/>
      <c r="Y172" s="1"/>
      <c r="Z172" s="1"/>
      <c r="AB172" s="148"/>
      <c r="AC172" s="1"/>
      <c r="AD172" s="1"/>
      <c r="AE172" s="1"/>
      <c r="AF172" s="1"/>
      <c r="AG172" s="1"/>
      <c r="AH172" s="1"/>
    </row>
    <row r="173" spans="1:34">
      <c r="A173" s="1" t="s">
        <v>8</v>
      </c>
      <c r="B173" s="1"/>
      <c r="C173" s="1">
        <f>STDEV(C12:D165)</f>
        <v>0</v>
      </c>
      <c r="D173" s="1"/>
      <c r="E173" s="7">
        <f>STDEV(E12:J165)</f>
        <v>8.620062265449157E-3</v>
      </c>
      <c r="F173" s="1"/>
      <c r="G173" s="1"/>
      <c r="H173" s="1"/>
      <c r="I173" s="1"/>
      <c r="J173" s="1"/>
      <c r="K173" s="7">
        <f>STDEV(K12:L165)</f>
        <v>0.22642853239506702</v>
      </c>
      <c r="L173" s="1"/>
      <c r="M173" s="1"/>
      <c r="N173" s="1"/>
      <c r="O173" s="1"/>
      <c r="P173" s="1"/>
      <c r="Q173" s="1"/>
      <c r="R173" s="7">
        <f>STDEV(R12:R165)</f>
        <v>0.7822515543419748</v>
      </c>
      <c r="S173" s="7">
        <f>STDEV(S12:S165)</f>
        <v>0.12122952381828077</v>
      </c>
      <c r="T173" s="1"/>
      <c r="U173" s="1"/>
      <c r="V173" s="1"/>
      <c r="W173" s="1"/>
      <c r="X173" s="1"/>
      <c r="Y173" s="1"/>
      <c r="Z173" s="1"/>
      <c r="AB173" s="148"/>
      <c r="AC173" s="1"/>
      <c r="AD173" s="1"/>
      <c r="AE173" s="1"/>
      <c r="AF173" s="1"/>
      <c r="AG173" s="1"/>
      <c r="AH173" s="1"/>
    </row>
    <row r="174" spans="1:34">
      <c r="A174" s="8" t="s">
        <v>7</v>
      </c>
      <c r="B174" s="1"/>
      <c r="C174" s="10">
        <f>C172+C173</f>
        <v>204</v>
      </c>
      <c r="D174" s="1"/>
      <c r="E174" s="7">
        <f>E172+E173</f>
        <v>0.50907460771999391</v>
      </c>
      <c r="F174" s="1"/>
      <c r="G174" s="1"/>
      <c r="H174" s="1"/>
      <c r="I174" s="1"/>
      <c r="J174" s="1"/>
      <c r="K174" s="6">
        <f>K172+K173</f>
        <v>26.494675285641815</v>
      </c>
      <c r="L174" s="1"/>
      <c r="M174" s="1"/>
      <c r="N174" s="1"/>
      <c r="O174" s="1"/>
      <c r="P174" s="1"/>
      <c r="Q174" s="1"/>
      <c r="R174" s="7">
        <f>R172+R173</f>
        <v>36.892641164731586</v>
      </c>
      <c r="S174" s="9">
        <f>S172+S173</f>
        <v>13.585808538039469</v>
      </c>
      <c r="T174" s="1"/>
      <c r="U174" s="1"/>
      <c r="V174" s="1"/>
      <c r="W174" s="1"/>
      <c r="X174" s="1"/>
      <c r="Y174" s="1"/>
      <c r="Z174" s="1"/>
      <c r="AB174" s="148"/>
      <c r="AC174" s="1"/>
      <c r="AD174" s="1"/>
      <c r="AE174" s="1"/>
      <c r="AF174" s="1"/>
      <c r="AG174" s="1"/>
      <c r="AH174" s="1"/>
    </row>
    <row r="175" spans="1:34">
      <c r="A175" s="8" t="s">
        <v>6</v>
      </c>
      <c r="B175" s="1"/>
      <c r="C175" s="10">
        <f>C172-C173</f>
        <v>204</v>
      </c>
      <c r="D175" s="1"/>
      <c r="E175" s="7">
        <f>E172-E173</f>
        <v>0.49183448318909556</v>
      </c>
      <c r="F175" s="1"/>
      <c r="G175" s="1"/>
      <c r="H175" s="1"/>
      <c r="I175" s="1"/>
      <c r="J175" s="1"/>
      <c r="K175" s="6">
        <f>K172-K173</f>
        <v>26.041818220851678</v>
      </c>
      <c r="L175" s="1"/>
      <c r="M175" s="1"/>
      <c r="N175" s="1"/>
      <c r="O175" s="1"/>
      <c r="P175" s="1"/>
      <c r="Q175" s="1"/>
      <c r="R175" s="7">
        <f>R172-R173</f>
        <v>35.328138056047635</v>
      </c>
      <c r="S175" s="9">
        <f>S172-S173</f>
        <v>13.343349490402908</v>
      </c>
      <c r="T175" s="1"/>
      <c r="U175" s="1"/>
      <c r="V175" s="1"/>
      <c r="W175" s="1"/>
      <c r="X175" s="1"/>
      <c r="Y175" s="1"/>
      <c r="Z175" s="1"/>
      <c r="AB175" s="148"/>
      <c r="AC175" s="1"/>
      <c r="AD175" s="1"/>
      <c r="AE175" s="1"/>
      <c r="AF175" s="1"/>
      <c r="AG175" s="1"/>
      <c r="AH175" s="1"/>
    </row>
    <row r="176" spans="1:34">
      <c r="A176" s="8" t="s">
        <v>57</v>
      </c>
      <c r="B176" s="1"/>
      <c r="C176" s="7">
        <f>MAX(C12:D165)-C170</f>
        <v>0.80000000000001137</v>
      </c>
      <c r="D176" s="1"/>
      <c r="E176" s="7">
        <f>MAX(E12:I165)-E170</f>
        <v>1.2000000000000011E-2</v>
      </c>
      <c r="F176" s="1"/>
      <c r="G176" s="1"/>
      <c r="H176" s="1"/>
      <c r="I176" s="1"/>
      <c r="J176" s="1"/>
      <c r="K176" s="7">
        <f>MAX(K13:L165)-K170</f>
        <v>1.1000000000000014</v>
      </c>
      <c r="L176" s="383" t="s">
        <v>56</v>
      </c>
      <c r="M176" s="383"/>
      <c r="N176" s="383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B176" s="148"/>
      <c r="AC176" s="1"/>
      <c r="AD176" s="1"/>
      <c r="AE176" s="1"/>
      <c r="AF176" s="1"/>
      <c r="AG176" s="1"/>
      <c r="AH176" s="1"/>
    </row>
    <row r="177" spans="1:34">
      <c r="A177" s="8" t="s">
        <v>55</v>
      </c>
      <c r="B177" s="1"/>
      <c r="C177" s="7">
        <f>MIN(C12:D165)-C170</f>
        <v>0.80000000000001137</v>
      </c>
      <c r="D177" s="1"/>
      <c r="E177" s="7">
        <f>MIN(E12:I165)-E170</f>
        <v>-3.8000000000000034E-2</v>
      </c>
      <c r="F177" s="1"/>
      <c r="G177" s="1"/>
      <c r="H177" s="1"/>
      <c r="I177" s="1"/>
      <c r="J177" s="1"/>
      <c r="K177" s="7">
        <f>MIN(K12:L64)-K170</f>
        <v>0.63000000000000256</v>
      </c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B177" s="148"/>
      <c r="AC177" s="1"/>
      <c r="AD177" s="1"/>
      <c r="AE177" s="1"/>
      <c r="AF177" s="1"/>
      <c r="AG177" s="1"/>
      <c r="AH177" s="1"/>
    </row>
    <row r="178" spans="1:34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B178" s="148"/>
      <c r="AC178" s="1"/>
      <c r="AD178" s="1"/>
      <c r="AE178" s="1"/>
      <c r="AF178" s="1"/>
      <c r="AG178" s="1"/>
      <c r="AH178" s="1"/>
    </row>
    <row r="179" spans="1:34" ht="15" thickBot="1">
      <c r="A179" s="1" t="s">
        <v>3</v>
      </c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B179" s="148"/>
      <c r="AC179" s="1"/>
      <c r="AD179" s="1"/>
      <c r="AE179" s="1"/>
      <c r="AF179" s="1"/>
      <c r="AG179" s="1"/>
      <c r="AH179" s="1"/>
    </row>
    <row r="180" spans="1:34">
      <c r="A180" s="1">
        <v>0.46</v>
      </c>
      <c r="B180" s="1"/>
      <c r="C180" s="5" t="s">
        <v>2</v>
      </c>
      <c r="D180" s="5" t="s">
        <v>1</v>
      </c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B180" s="148"/>
      <c r="AC180" s="1"/>
      <c r="AD180" s="1"/>
      <c r="AE180" s="1"/>
      <c r="AF180" s="1"/>
      <c r="AG180" s="1"/>
      <c r="AH180" s="1"/>
    </row>
    <row r="181" spans="1:34">
      <c r="A181" s="1">
        <f t="shared" ref="A181:A189" si="20">A180+0.01</f>
        <v>0.47000000000000003</v>
      </c>
      <c r="B181" s="1"/>
      <c r="C181" s="4">
        <v>0.46</v>
      </c>
      <c r="D181" s="3">
        <v>0</v>
      </c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B181" s="148"/>
      <c r="AC181" s="1"/>
      <c r="AD181" s="1"/>
      <c r="AE181" s="1"/>
      <c r="AF181" s="1"/>
      <c r="AG181" s="1"/>
      <c r="AH181" s="1"/>
    </row>
    <row r="182" spans="1:34">
      <c r="A182" s="1">
        <f t="shared" si="20"/>
        <v>0.48000000000000004</v>
      </c>
      <c r="B182" s="1"/>
      <c r="C182" s="4">
        <v>0.47000000000000003</v>
      </c>
      <c r="D182" s="3">
        <v>2</v>
      </c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B182" s="148"/>
      <c r="AC182" s="1"/>
      <c r="AD182" s="1"/>
      <c r="AE182" s="1"/>
      <c r="AF182" s="1"/>
      <c r="AG182" s="1"/>
      <c r="AH182" s="1"/>
    </row>
    <row r="183" spans="1:34">
      <c r="A183" s="1">
        <f t="shared" si="20"/>
        <v>0.49000000000000005</v>
      </c>
      <c r="B183" s="1"/>
      <c r="C183" s="4">
        <v>0.48000000000000004</v>
      </c>
      <c r="D183" s="3">
        <v>30</v>
      </c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B183" s="148"/>
      <c r="AC183" s="1"/>
      <c r="AD183" s="1"/>
      <c r="AE183" s="1"/>
      <c r="AF183" s="1"/>
      <c r="AG183" s="1"/>
      <c r="AH183" s="1"/>
    </row>
    <row r="184" spans="1:34">
      <c r="A184" s="1">
        <f t="shared" si="20"/>
        <v>0.5</v>
      </c>
      <c r="B184" s="1"/>
      <c r="C184" s="4">
        <v>0.49000000000000005</v>
      </c>
      <c r="D184" s="3">
        <v>152</v>
      </c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B184" s="148"/>
      <c r="AC184" s="1"/>
      <c r="AD184" s="1"/>
      <c r="AE184" s="1"/>
      <c r="AF184" s="1"/>
      <c r="AG184" s="1"/>
      <c r="AH184" s="1"/>
    </row>
    <row r="185" spans="1:34">
      <c r="A185" s="1">
        <f t="shared" si="20"/>
        <v>0.51</v>
      </c>
      <c r="B185" s="1"/>
      <c r="C185" s="4">
        <v>0.5</v>
      </c>
      <c r="D185" s="3">
        <v>348</v>
      </c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B185" s="148"/>
      <c r="AC185" s="1"/>
      <c r="AD185" s="1"/>
      <c r="AE185" s="1"/>
      <c r="AF185" s="1"/>
      <c r="AG185" s="1"/>
      <c r="AH185" s="1"/>
    </row>
    <row r="186" spans="1:34">
      <c r="A186" s="1">
        <f t="shared" si="20"/>
        <v>0.52</v>
      </c>
      <c r="B186" s="1"/>
      <c r="C186" s="4">
        <v>0.51</v>
      </c>
      <c r="D186" s="3">
        <v>223</v>
      </c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B186" s="148"/>
      <c r="AC186" s="1"/>
      <c r="AD186" s="1"/>
      <c r="AE186" s="1"/>
      <c r="AF186" s="1"/>
      <c r="AG186" s="1"/>
      <c r="AH186" s="1"/>
    </row>
    <row r="187" spans="1:34">
      <c r="A187" s="1">
        <f t="shared" si="20"/>
        <v>0.53</v>
      </c>
      <c r="B187" s="1"/>
      <c r="C187" s="4">
        <v>0.52</v>
      </c>
      <c r="D187" s="3">
        <v>15</v>
      </c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B187" s="148"/>
      <c r="AC187" s="1"/>
      <c r="AD187" s="1"/>
      <c r="AE187" s="1"/>
      <c r="AF187" s="1"/>
      <c r="AG187" s="1"/>
      <c r="AH187" s="1"/>
    </row>
    <row r="188" spans="1:34">
      <c r="A188" s="1">
        <f t="shared" si="20"/>
        <v>0.54</v>
      </c>
      <c r="B188" s="1"/>
      <c r="C188" s="4">
        <v>0.53</v>
      </c>
      <c r="D188" s="3">
        <v>0</v>
      </c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B188" s="148"/>
      <c r="AC188" s="1"/>
      <c r="AD188" s="1"/>
      <c r="AE188" s="1"/>
      <c r="AF188" s="1"/>
      <c r="AG188" s="1"/>
      <c r="AH188" s="1"/>
    </row>
    <row r="189" spans="1:34">
      <c r="A189" s="1">
        <f t="shared" si="20"/>
        <v>0.55000000000000004</v>
      </c>
      <c r="B189" s="1"/>
      <c r="C189" s="4">
        <v>0.54</v>
      </c>
      <c r="D189" s="3">
        <v>0</v>
      </c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B189" s="148"/>
      <c r="AC189" s="1"/>
      <c r="AD189" s="1"/>
      <c r="AE189" s="1"/>
      <c r="AF189" s="1"/>
      <c r="AG189" s="1"/>
      <c r="AH189" s="1"/>
    </row>
    <row r="190" spans="1:34">
      <c r="A190" s="1"/>
      <c r="B190" s="1"/>
      <c r="C190" s="4">
        <v>0.55000000000000004</v>
      </c>
      <c r="D190" s="3">
        <v>0</v>
      </c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B190" s="148"/>
      <c r="AC190" s="1"/>
      <c r="AD190" s="1"/>
      <c r="AE190" s="1"/>
      <c r="AF190" s="1"/>
      <c r="AG190" s="1"/>
      <c r="AH190" s="1"/>
    </row>
    <row r="191" spans="1:34" ht="15" thickBot="1">
      <c r="A191" s="1"/>
      <c r="B191" s="1"/>
      <c r="C191" s="2" t="s">
        <v>0</v>
      </c>
      <c r="D191" s="2">
        <v>0</v>
      </c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B191" s="148"/>
      <c r="AC191" s="1"/>
      <c r="AD191" s="1"/>
      <c r="AE191" s="1"/>
      <c r="AF191" s="1"/>
      <c r="AG191" s="1"/>
      <c r="AH191" s="1"/>
    </row>
    <row r="192" spans="1:34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B192" s="148"/>
      <c r="AC192" s="1"/>
      <c r="AD192" s="1"/>
      <c r="AE192" s="1"/>
      <c r="AF192" s="1"/>
      <c r="AG192" s="1"/>
      <c r="AH192" s="1"/>
    </row>
    <row r="193" spans="1:34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B193" s="148"/>
      <c r="AC193" s="1"/>
      <c r="AD193" s="1"/>
      <c r="AE193" s="1"/>
      <c r="AF193" s="1"/>
      <c r="AG193" s="1"/>
      <c r="AH193" s="1"/>
    </row>
  </sheetData>
  <mergeCells count="8">
    <mergeCell ref="L176:N176"/>
    <mergeCell ref="M9:P9"/>
    <mergeCell ref="E9:I9"/>
    <mergeCell ref="A1:B1"/>
    <mergeCell ref="A2:B2"/>
    <mergeCell ref="A3:B3"/>
    <mergeCell ref="C9:D9"/>
    <mergeCell ref="K9:L9"/>
  </mergeCells>
  <phoneticPr fontId="16" type="noConversion"/>
  <pageMargins left="0.2" right="0.2" top="0.5" bottom="0.5" header="0.3" footer="0.3"/>
  <pageSetup orientation="landscape" horizontalDpi="200" verticalDpi="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F19" sqref="F19"/>
    </sheetView>
  </sheetViews>
  <sheetFormatPr baseColWidth="10" defaultRowHeight="14" x14ac:dyDescent="0"/>
  <cols>
    <col min="1" max="1" width="17.83203125" customWidth="1"/>
    <col min="4" max="4" width="16.33203125" customWidth="1"/>
    <col min="5" max="5" width="24.83203125" customWidth="1"/>
    <col min="6" max="7" width="37.5" customWidth="1"/>
  </cols>
  <sheetData>
    <row r="1" spans="1:7" ht="23">
      <c r="A1" s="304" t="s">
        <v>106</v>
      </c>
      <c r="B1" s="304" t="s">
        <v>108</v>
      </c>
      <c r="C1" s="304" t="s">
        <v>162</v>
      </c>
      <c r="D1" s="309" t="s">
        <v>126</v>
      </c>
      <c r="E1" s="304" t="s">
        <v>115</v>
      </c>
      <c r="F1" s="304" t="s">
        <v>117</v>
      </c>
      <c r="G1" s="304" t="s">
        <v>118</v>
      </c>
    </row>
    <row r="2" spans="1:7">
      <c r="A2" s="87" t="s">
        <v>167</v>
      </c>
      <c r="B2" s="185" t="s">
        <v>110</v>
      </c>
      <c r="C2" s="185">
        <v>46</v>
      </c>
      <c r="D2" s="303"/>
      <c r="E2" s="306">
        <f>AVERAGE(LOOKUP(C2,Es!$A$12:$A$28,Es!$E$12:$E$28),LOOKUP(C2,Es!$A$12:$A$28,Es!$F$12:$F$28),LOOKUP(C2,Es!$A$12:$A$28,Es!$G$12:$G$28),LOOKUP(C2,Es!$A$12:$A$28,Es!$H$12:$H$28))</f>
        <v>0.88</v>
      </c>
      <c r="F2" s="185">
        <f>SUM(E2:E8)+7*0.97282</f>
        <v>12.969739999999998</v>
      </c>
      <c r="G2" s="185">
        <v>13.19</v>
      </c>
    </row>
    <row r="3" spans="1:7">
      <c r="A3" s="87"/>
      <c r="B3" s="185"/>
      <c r="C3" s="185">
        <v>45</v>
      </c>
      <c r="E3" s="306">
        <f>AVERAGE(LOOKUP(C3,Es!$A$12:$A$28,Es!$E$12:$E$28),LOOKUP(C3,Es!$A$12:$A$28,Es!$F$12:$F$28),LOOKUP(C3,Es!$A$12:$A$28,Es!$G$12:$G$28),LOOKUP(C3,Es!$A$12:$A$28,Es!$H$12:$H$28))</f>
        <v>0.87749999999999995</v>
      </c>
      <c r="F3" s="185"/>
      <c r="G3" s="185"/>
    </row>
    <row r="4" spans="1:7">
      <c r="A4" s="87"/>
      <c r="B4" s="185"/>
      <c r="C4" s="185">
        <v>44</v>
      </c>
      <c r="E4" s="306">
        <f>AVERAGE(LOOKUP(C4,Es!$A$12:$A$28,Es!$E$12:$E$28),LOOKUP(C4,Es!$A$12:$A$28,Es!$F$12:$F$28),LOOKUP(C4,Es!$A$12:$A$28,Es!$G$12:$G$28),LOOKUP(C4,Es!$A$12:$A$28,Es!$H$12:$H$28))</f>
        <v>0.86499999999999999</v>
      </c>
      <c r="F4" s="185"/>
      <c r="G4" s="185"/>
    </row>
    <row r="5" spans="1:7">
      <c r="A5" s="87"/>
      <c r="B5" s="185"/>
      <c r="C5" s="185">
        <v>43</v>
      </c>
      <c r="E5" s="306">
        <f>AVERAGE(LOOKUP(C5,Es!$A$12:$A$28,Es!$E$12:$E$28),LOOKUP(C5,Es!$A$12:$A$28,Es!$F$12:$F$28),LOOKUP(C5,Es!$A$12:$A$28,Es!$G$12:$G$28),LOOKUP(C5,Es!$A$12:$A$28,Es!$H$12:$H$28))</f>
        <v>0.875</v>
      </c>
      <c r="F5" s="185"/>
      <c r="G5" s="185"/>
    </row>
    <row r="6" spans="1:7">
      <c r="A6" s="87"/>
      <c r="B6" s="185"/>
      <c r="C6" s="185">
        <v>42</v>
      </c>
      <c r="E6" s="306">
        <f>AVERAGE(LOOKUP(C6,Es!$A$12:$A$28,Es!$E$12:$E$28),LOOKUP(C6,Es!$A$12:$A$28,Es!$F$12:$F$28),LOOKUP(C6,Es!$A$12:$A$28,Es!$G$12:$G$28),LOOKUP(C6,Es!$A$12:$A$28,Es!$H$12:$H$28))</f>
        <v>0.90249999999999997</v>
      </c>
      <c r="F6" s="185"/>
      <c r="G6" s="185"/>
    </row>
    <row r="7" spans="1:7">
      <c r="A7" s="87"/>
      <c r="B7" s="185"/>
      <c r="C7" s="185">
        <v>41</v>
      </c>
      <c r="E7" s="306">
        <f>AVERAGE(LOOKUP(C7,Es!$A$12:$A$28,Es!$E$12:$E$28),LOOKUP(C7,Es!$A$12:$A$28,Es!$F$12:$F$28),LOOKUP(C7,Es!$A$12:$A$28,Es!$G$12:$G$28),LOOKUP(C7,Es!$A$12:$A$28,Es!$H$12:$H$28))</f>
        <v>0.88</v>
      </c>
      <c r="F7" s="185"/>
      <c r="G7" s="185"/>
    </row>
    <row r="8" spans="1:7">
      <c r="A8" s="87"/>
      <c r="B8" s="185" t="s">
        <v>111</v>
      </c>
      <c r="C8" s="185">
        <v>40</v>
      </c>
      <c r="E8" s="314">
        <f>AVERAGE(LOOKUP(C8,Es!$A$12:$A$28,Es!$E$12:$E$28),LOOKUP(C8,Es!$A$12:$A$28,Es!$F$12:$F$28),LOOKUP(C8,Es!$A$12:$A$28,Es!$G$12:$G$28),LOOKUP(C8,Es!$A$12:$A$28,Es!$H$12:$H$28))</f>
        <v>0.88</v>
      </c>
      <c r="F8" s="185"/>
      <c r="G8" s="185"/>
    </row>
    <row r="9" spans="1:7">
      <c r="A9" s="14" t="s">
        <v>168</v>
      </c>
      <c r="B9" s="303" t="s">
        <v>110</v>
      </c>
      <c r="C9" s="303">
        <v>54</v>
      </c>
      <c r="D9" s="303"/>
      <c r="E9" s="306">
        <f>AVERAGE(LOOKUP(C9,Es!$A$12:$A$28,Es!$E$12:$E$28),LOOKUP(C9,Es!$A$12:$A$28,Es!$F$12:$F$28),LOOKUP(C9,Es!$A$12:$A$28,Es!$G$12:$G$28),LOOKUP(C9,Es!$A$12:$A$28,Es!$H$12:$H$28))</f>
        <v>0.875</v>
      </c>
      <c r="F9" s="303">
        <f>SUM(E9:E15)+7*0.97282</f>
        <v>13.02224</v>
      </c>
      <c r="G9" s="303">
        <v>13.14</v>
      </c>
    </row>
    <row r="10" spans="1:7">
      <c r="A10" s="87"/>
      <c r="B10" s="185"/>
      <c r="C10" s="185">
        <v>53</v>
      </c>
      <c r="E10" s="306">
        <f>AVERAGE(LOOKUP(C10,Es!$A$12:$A$28,Es!$E$12:$E$28),LOOKUP(C10,Es!$A$12:$A$28,Es!$F$12:$F$28),LOOKUP(C10,Es!$A$12:$A$28,Es!$G$12:$G$28),LOOKUP(C10,Es!$A$12:$A$28,Es!$H$12:$H$28))</f>
        <v>0.86499999999999999</v>
      </c>
      <c r="F10" s="185"/>
      <c r="G10" s="185"/>
    </row>
    <row r="11" spans="1:7">
      <c r="A11" s="87"/>
      <c r="B11" s="185"/>
      <c r="C11" s="185">
        <v>52</v>
      </c>
      <c r="E11" s="306">
        <f>AVERAGE(LOOKUP(C11,Es!$A$12:$A$28,Es!$E$12:$E$28),LOOKUP(C11,Es!$A$12:$A$28,Es!$F$12:$F$28),LOOKUP(C11,Es!$A$12:$A$28,Es!$G$12:$G$28),LOOKUP(C11,Es!$A$12:$A$28,Es!$H$12:$H$28))</f>
        <v>0.88500000000000001</v>
      </c>
      <c r="F11" s="185"/>
      <c r="G11" s="185"/>
    </row>
    <row r="12" spans="1:7">
      <c r="A12" s="87"/>
      <c r="B12" s="185"/>
      <c r="C12" s="185">
        <v>39</v>
      </c>
      <c r="E12" s="306">
        <f>AVERAGE(LOOKUP(C12,Es!$A$12:$A$28,Es!$E$12:$E$28),LOOKUP(C12,Es!$A$12:$A$28,Es!$F$12:$F$28),LOOKUP(C12,Es!$A$12:$A$28,Es!$G$12:$G$28),LOOKUP(C12,Es!$A$12:$A$28,Es!$H$12:$H$28))</f>
        <v>0.90500000000000003</v>
      </c>
      <c r="F12" s="185"/>
      <c r="G12" s="185"/>
    </row>
    <row r="13" spans="1:7">
      <c r="A13" s="87"/>
      <c r="B13" s="185"/>
      <c r="C13" s="185">
        <v>38</v>
      </c>
      <c r="E13" s="306">
        <f>AVERAGE(LOOKUP(C13,Es!$A$12:$A$28,Es!$E$12:$E$28),LOOKUP(C13,Es!$A$12:$A$28,Es!$F$12:$F$28),LOOKUP(C13,Es!$A$12:$A$28,Es!$G$12:$G$28),LOOKUP(C13,Es!$A$12:$A$28,Es!$H$12:$H$28))</f>
        <v>0.90750000000000008</v>
      </c>
      <c r="F13" s="185"/>
      <c r="G13" s="185"/>
    </row>
    <row r="14" spans="1:7">
      <c r="A14" s="87"/>
      <c r="B14" s="185"/>
      <c r="C14" s="185">
        <v>49</v>
      </c>
      <c r="E14" s="306">
        <f>AVERAGE(LOOKUP(C14,Es!$A$12:$A$28,Es!$E$12:$E$28),LOOKUP(C14,Es!$A$12:$A$28,Es!$F$12:$F$28),LOOKUP(C14,Es!$A$12:$A$28,Es!$G$12:$G$28),LOOKUP(C14,Es!$A$12:$A$28,Es!$H$12:$H$28))</f>
        <v>0.88500000000000001</v>
      </c>
      <c r="F14" s="185"/>
      <c r="G14" s="185"/>
    </row>
    <row r="15" spans="1:7">
      <c r="A15" s="103"/>
      <c r="B15" s="253" t="s">
        <v>111</v>
      </c>
      <c r="C15" s="253">
        <v>48</v>
      </c>
      <c r="D15" s="103"/>
      <c r="E15" s="314">
        <f>AVERAGE(LOOKUP(C15,Es!$A$12:$A$28,Es!$E$12:$E$28),LOOKUP(C15,Es!$A$12:$A$28,Es!$F$12:$F$28),LOOKUP(C15,Es!$A$12:$A$28,Es!$G$12:$G$28),LOOKUP(C15,Es!$A$12:$A$28,Es!$H$12:$H$28))</f>
        <v>0.89</v>
      </c>
      <c r="F15" s="253"/>
      <c r="G15" s="25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selection activeCell="F21" sqref="F21"/>
    </sheetView>
  </sheetViews>
  <sheetFormatPr baseColWidth="10" defaultRowHeight="14" x14ac:dyDescent="0"/>
  <cols>
    <col min="1" max="1" width="17.1640625" customWidth="1"/>
    <col min="4" max="4" width="16.83203125" customWidth="1"/>
    <col min="5" max="5" width="24.6640625" customWidth="1"/>
    <col min="6" max="7" width="37.6640625" customWidth="1"/>
  </cols>
  <sheetData>
    <row r="1" spans="1:7" ht="23">
      <c r="A1" s="304" t="s">
        <v>106</v>
      </c>
      <c r="B1" s="304" t="s">
        <v>108</v>
      </c>
      <c r="C1" s="304" t="s">
        <v>165</v>
      </c>
      <c r="D1" s="309" t="s">
        <v>126</v>
      </c>
      <c r="E1" s="304" t="s">
        <v>115</v>
      </c>
      <c r="F1" s="304" t="s">
        <v>117</v>
      </c>
      <c r="G1" s="304" t="s">
        <v>118</v>
      </c>
    </row>
    <row r="2" spans="1:7">
      <c r="A2" s="87" t="s">
        <v>169</v>
      </c>
      <c r="B2" s="185" t="s">
        <v>110</v>
      </c>
      <c r="C2" s="185">
        <v>5</v>
      </c>
      <c r="D2" s="303"/>
      <c r="E2" s="306">
        <f>AVERAGE(LOOKUP(C2,F!$A$12:$A$36,F!$E$12:$E$36),LOOKUP(C2,F!$A$12:$A$36,F!$F$12:$F$36),LOOKUP(C2,F!$A$12:$A$36,F!$G$12:$G$36),LOOKUP(C2,F!$A$12:$A$36,F!$H$12:$H$36),LOOKUP(C2,F!$A$12:$A$36,F!$I$12:$I$36),LOOKUP(C2,F!$A$12:$A$36,F!$J$12:$J$36))</f>
        <v>1.0016666666666667</v>
      </c>
      <c r="F2" s="185">
        <f>SUM(E2:E7)+6*1.13792</f>
        <v>12.909186666666667</v>
      </c>
      <c r="G2" s="185">
        <v>13.08</v>
      </c>
    </row>
    <row r="3" spans="1:7">
      <c r="A3" s="87"/>
      <c r="B3" s="185"/>
      <c r="C3" s="185">
        <v>4</v>
      </c>
      <c r="E3" s="306">
        <f>AVERAGE(LOOKUP(C3,F!$A$12:$A$36,F!$E$12:$E$36),LOOKUP(C3,F!$A$12:$A$36,F!$F$12:$F$36),LOOKUP(C3,F!$A$12:$A$36,F!$G$12:$G$36),LOOKUP(C3,F!$A$12:$A$36,F!$H$12:$H$36),LOOKUP(C3,F!$A$12:$A$36,F!$I$12:$I$36),LOOKUP(C3,F!$A$12:$A$36,F!$J$12:$J$36))</f>
        <v>1.0333333333333334</v>
      </c>
      <c r="F3" s="185"/>
      <c r="G3" s="185"/>
    </row>
    <row r="4" spans="1:7">
      <c r="A4" s="87"/>
      <c r="B4" s="185"/>
      <c r="C4" s="185">
        <v>3</v>
      </c>
      <c r="E4" s="306">
        <f>AVERAGE(LOOKUP(C4,F!$A$12:$A$36,F!$E$12:$E$36),LOOKUP(C4,F!$A$12:$A$36,F!$F$12:$F$36),LOOKUP(C4,F!$A$12:$A$36,F!$G$12:$G$36),LOOKUP(C4,F!$A$12:$A$36,F!$H$12:$H$36),LOOKUP(C4,F!$A$12:$A$36,F!$I$12:$I$36),LOOKUP(C4,F!$A$12:$A$36,F!$J$12:$J$36))</f>
        <v>1.0516666666666667</v>
      </c>
      <c r="F4" s="185"/>
      <c r="G4" s="185"/>
    </row>
    <row r="5" spans="1:7">
      <c r="A5" s="87"/>
      <c r="B5" s="185"/>
      <c r="C5" s="185">
        <v>2</v>
      </c>
      <c r="E5" s="306">
        <f>AVERAGE(LOOKUP(C5,F!$A$12:$A$36,F!$E$12:$E$36),LOOKUP(C5,F!$A$12:$A$36,F!$F$12:$F$36),LOOKUP(C5,F!$A$12:$A$36,F!$G$12:$G$36),LOOKUP(C5,F!$A$12:$A$36,F!$H$12:$H$36),LOOKUP(C5,F!$A$12:$A$36,F!$I$12:$I$36),LOOKUP(C5,F!$A$12:$A$36,F!$J$12:$J$36))</f>
        <v>1.0366666666666668</v>
      </c>
      <c r="F5" s="185"/>
      <c r="G5" s="185"/>
    </row>
    <row r="6" spans="1:7">
      <c r="A6" s="87"/>
      <c r="B6" s="185"/>
      <c r="C6" s="185">
        <v>1</v>
      </c>
      <c r="E6" s="306">
        <f>AVERAGE(LOOKUP(C6,F!$A$12:$A$36,F!$E$12:$E$36),LOOKUP(C6,F!$A$12:$A$36,F!$F$12:$F$36),LOOKUP(C6,F!$A$12:$A$36,F!$G$12:$G$36),LOOKUP(C6,F!$A$12:$A$36,F!$H$12:$H$36),LOOKUP(C6,F!$A$12:$A$36,F!$I$12:$I$36),LOOKUP(C6,F!$A$12:$A$36,F!$J$12:$J$36))</f>
        <v>1.0049999999999999</v>
      </c>
      <c r="F6" s="185"/>
      <c r="G6" s="185"/>
    </row>
    <row r="7" spans="1:7">
      <c r="A7" s="87"/>
      <c r="B7" s="185" t="s">
        <v>111</v>
      </c>
      <c r="C7" s="185">
        <v>0</v>
      </c>
      <c r="E7" s="306">
        <f>AVERAGE(LOOKUP(C7,F!$A$12:$A$36,F!$E$12:$E$36),LOOKUP(C7,F!$A$12:$A$36,F!$F$12:$F$36),LOOKUP(C7,F!$A$12:$A$36,F!$G$12:$G$36),LOOKUP(C7,F!$A$12:$A$36,F!$H$12:$H$36),LOOKUP(C7,F!$A$12:$A$36,F!$I$12:$I$36),LOOKUP(C7,F!$A$12:$A$36,F!$J$12:$J$36))</f>
        <v>0.95333333333333325</v>
      </c>
      <c r="F7" s="185"/>
      <c r="G7" s="185"/>
    </row>
    <row r="8" spans="1:7">
      <c r="A8" s="14" t="s">
        <v>170</v>
      </c>
      <c r="B8" s="303" t="s">
        <v>110</v>
      </c>
      <c r="C8" s="303">
        <v>12</v>
      </c>
      <c r="D8" s="303"/>
      <c r="E8" s="307">
        <f>AVERAGE(LOOKUP(C8,F!$A$12:$A$36,F!$E$12:$E$36),LOOKUP(C8,F!$A$12:$A$36,F!$F$12:$F$36),LOOKUP(C8,F!$A$12:$A$36,F!$G$12:$G$36),LOOKUP(C8,F!$A$12:$A$36,F!$H$12:$H$36),LOOKUP(C8,F!$A$12:$A$36,F!$I$12:$I$36),LOOKUP(C8,F!$A$12:$A$36,F!$J$12:$J$36))</f>
        <v>1.0166666666666666</v>
      </c>
      <c r="F8" s="303">
        <f>SUM(E8:E13)+6*1.13792</f>
        <v>12.975853333333333</v>
      </c>
      <c r="G8" s="303">
        <v>13.08</v>
      </c>
    </row>
    <row r="9" spans="1:7">
      <c r="A9" s="87"/>
      <c r="B9" s="185"/>
      <c r="C9" s="185">
        <v>10</v>
      </c>
      <c r="E9" s="306">
        <f>AVERAGE(LOOKUP(C9,F!$A$12:$A$36,F!$E$12:$E$36),LOOKUP(C9,F!$A$12:$A$36,F!$F$12:$F$36),LOOKUP(C9,F!$A$12:$A$36,F!$G$12:$G$36),LOOKUP(C9,F!$A$12:$A$36,F!$H$12:$H$36),LOOKUP(C9,F!$A$12:$A$36,F!$I$12:$I$36),LOOKUP(C9,F!$A$12:$A$36,F!$J$12:$J$36))</f>
        <v>1.0266666666666668</v>
      </c>
      <c r="F9" s="185"/>
      <c r="G9" s="185"/>
    </row>
    <row r="10" spans="1:7">
      <c r="A10" s="87"/>
      <c r="B10" s="185"/>
      <c r="C10" s="185">
        <v>9</v>
      </c>
      <c r="E10" s="306">
        <f>AVERAGE(LOOKUP(C10,F!$A$12:$A$36,F!$E$12:$E$36),LOOKUP(C10,F!$A$12:$A$36,F!$F$12:$F$36),LOOKUP(C10,F!$A$12:$A$36,F!$G$12:$G$36),LOOKUP(C10,F!$A$12:$A$36,F!$H$12:$H$36),LOOKUP(C10,F!$A$12:$A$36,F!$I$12:$I$36),LOOKUP(C10,F!$A$12:$A$36,F!$J$12:$J$36))</f>
        <v>0.99833333333333341</v>
      </c>
      <c r="F10" s="185"/>
      <c r="G10" s="185"/>
    </row>
    <row r="11" spans="1:7">
      <c r="A11" s="87"/>
      <c r="B11" s="185"/>
      <c r="C11" s="185">
        <v>8</v>
      </c>
      <c r="E11" s="306">
        <f>AVERAGE(LOOKUP(C11,F!$A$12:$A$36,F!$E$12:$E$36),LOOKUP(C11,F!$A$12:$A$36,F!$F$12:$F$36),LOOKUP(C11,F!$A$12:$A$36,F!$G$12:$G$36),LOOKUP(C11,F!$A$12:$A$36,F!$H$12:$H$36),LOOKUP(C11,F!$A$12:$A$36,F!$I$12:$I$36),LOOKUP(C11,F!$A$12:$A$36,F!$J$12:$J$36))</f>
        <v>1.04</v>
      </c>
      <c r="F11" s="185"/>
      <c r="G11" s="185"/>
    </row>
    <row r="12" spans="1:7">
      <c r="A12" s="87"/>
      <c r="B12" s="185"/>
      <c r="C12" s="185">
        <v>7</v>
      </c>
      <c r="E12" s="306">
        <f>AVERAGE(LOOKUP(C12,F!$A$12:$A$36,F!$E$12:$E$36),LOOKUP(C12,F!$A$12:$A$36,F!$F$12:$F$36),LOOKUP(C12,F!$A$12:$A$36,F!$G$12:$G$36),LOOKUP(C12,F!$A$12:$A$36,F!$H$12:$H$36),LOOKUP(C12,F!$A$12:$A$36,F!$I$12:$I$36),LOOKUP(C12,F!$A$12:$A$36,F!$J$12:$J$36))</f>
        <v>1.04</v>
      </c>
      <c r="F12" s="185"/>
      <c r="G12" s="185"/>
    </row>
    <row r="13" spans="1:7">
      <c r="A13" s="87"/>
      <c r="B13" s="185" t="s">
        <v>111</v>
      </c>
      <c r="C13" s="185">
        <v>6</v>
      </c>
      <c r="E13" s="306">
        <f>AVERAGE(LOOKUP(C13,F!$A$12:$A$36,F!$E$12:$E$36),LOOKUP(C13,F!$A$12:$A$36,F!$F$12:$F$36),LOOKUP(C13,F!$A$12:$A$36,F!$G$12:$G$36),LOOKUP(C13,F!$A$12:$A$36,F!$H$12:$H$36),LOOKUP(C13,F!$A$12:$A$36,F!$I$12:$I$36),LOOKUP(C13,F!$A$12:$A$36,F!$J$12:$J$36))</f>
        <v>1.0266666666666668</v>
      </c>
      <c r="F13" s="185"/>
      <c r="G13" s="185"/>
    </row>
    <row r="14" spans="1:7">
      <c r="A14" s="14" t="s">
        <v>171</v>
      </c>
      <c r="B14" s="303" t="s">
        <v>110</v>
      </c>
      <c r="C14" s="303">
        <v>18</v>
      </c>
      <c r="D14" s="303"/>
      <c r="E14" s="307">
        <f>AVERAGE(LOOKUP(C14,F!$A$12:$A$36,F!$E$12:$E$36),LOOKUP(C14,F!$A$12:$A$36,F!$F$12:$F$36),LOOKUP(C14,F!$A$12:$A$36,F!$G$12:$G$36),LOOKUP(C14,F!$A$12:$A$36,F!$H$12:$H$36),LOOKUP(C14,F!$A$12:$A$36,F!$I$12:$I$36),LOOKUP(C14,F!$A$12:$A$36,F!$J$12:$J$36))</f>
        <v>1.0116666666666667</v>
      </c>
      <c r="F14" s="303">
        <f>SUM(E14:E19)+6*1.13792</f>
        <v>12.945853333333332</v>
      </c>
      <c r="G14" s="303">
        <v>13.07</v>
      </c>
    </row>
    <row r="15" spans="1:7">
      <c r="A15" s="87"/>
      <c r="B15" s="185"/>
      <c r="C15" s="185">
        <v>17</v>
      </c>
      <c r="E15" s="306">
        <f>AVERAGE(LOOKUP(C15,F!$A$12:$A$36,F!$E$12:$E$36),LOOKUP(C15,F!$A$12:$A$36,F!$F$12:$F$36),LOOKUP(C15,F!$A$12:$A$36,F!$G$12:$G$36),LOOKUP(C15,F!$A$12:$A$36,F!$H$12:$H$36),LOOKUP(C15,F!$A$12:$A$36,F!$I$12:$I$36),LOOKUP(C15,F!$A$12:$A$36,F!$J$12:$J$36))</f>
        <v>1.0116666666666667</v>
      </c>
      <c r="F15" s="185"/>
      <c r="G15" s="185"/>
    </row>
    <row r="16" spans="1:7">
      <c r="A16" s="87"/>
      <c r="B16" s="185"/>
      <c r="C16" s="185">
        <v>16</v>
      </c>
      <c r="E16" s="306">
        <f>AVERAGE(LOOKUP(C16,F!$A$12:$A$36,F!$E$12:$E$36),LOOKUP(C16,F!$A$12:$A$36,F!$F$12:$F$36),LOOKUP(C16,F!$A$12:$A$36,F!$G$12:$G$36),LOOKUP(C16,F!$A$12:$A$36,F!$H$12:$H$36),LOOKUP(C16,F!$A$12:$A$36,F!$I$12:$I$36),LOOKUP(C16,F!$A$12:$A$36,F!$J$12:$J$36))</f>
        <v>1.0366666666666668</v>
      </c>
      <c r="F16" s="185"/>
      <c r="G16" s="185"/>
    </row>
    <row r="17" spans="1:7">
      <c r="A17" s="87"/>
      <c r="B17" s="185"/>
      <c r="C17" s="185">
        <v>15</v>
      </c>
      <c r="E17" s="306">
        <f>AVERAGE(LOOKUP(C17,F!$A$12:$A$36,F!$E$12:$E$36),LOOKUP(C17,F!$A$12:$A$36,F!$F$12:$F$36),LOOKUP(C17,F!$A$12:$A$36,F!$G$12:$G$36),LOOKUP(C17,F!$A$12:$A$36,F!$H$12:$H$36),LOOKUP(C17,F!$A$12:$A$36,F!$I$12:$I$36),LOOKUP(C17,F!$A$12:$A$36,F!$J$12:$J$36))</f>
        <v>0.97499999999999998</v>
      </c>
      <c r="F17" s="185"/>
      <c r="G17" s="185"/>
    </row>
    <row r="18" spans="1:7">
      <c r="A18" s="87"/>
      <c r="B18" s="185"/>
      <c r="C18" s="185">
        <v>14</v>
      </c>
      <c r="E18" s="306">
        <f>AVERAGE(LOOKUP(C18,F!$A$12:$A$36,F!$E$12:$E$36),LOOKUP(C18,F!$A$12:$A$36,F!$F$12:$F$36),LOOKUP(C18,F!$A$12:$A$36,F!$G$12:$G$36),LOOKUP(C18,F!$A$12:$A$36,F!$H$12:$H$36),LOOKUP(C18,F!$A$12:$A$36,F!$I$12:$I$36),LOOKUP(C18,F!$A$12:$A$36,F!$J$12:$J$36))</f>
        <v>1.0449999999999999</v>
      </c>
      <c r="F18" s="185"/>
      <c r="G18" s="185"/>
    </row>
    <row r="19" spans="1:7">
      <c r="A19" s="87"/>
      <c r="B19" s="185" t="s">
        <v>111</v>
      </c>
      <c r="C19" s="185">
        <v>13</v>
      </c>
      <c r="E19" s="306">
        <f>AVERAGE(LOOKUP(C19,F!$A$12:$A$36,F!$E$12:$E$36),LOOKUP(C19,F!$A$12:$A$36,F!$F$12:$F$36),LOOKUP(C19,F!$A$12:$A$36,F!$G$12:$G$36),LOOKUP(C19,F!$A$12:$A$36,F!$H$12:$H$36),LOOKUP(C19,F!$A$12:$A$36,F!$I$12:$I$36),LOOKUP(C19,F!$A$12:$A$36,F!$J$12:$J$36))</f>
        <v>1.0383333333333333</v>
      </c>
      <c r="F19" s="185"/>
      <c r="G19" s="185"/>
    </row>
    <row r="20" spans="1:7">
      <c r="A20" s="14" t="s">
        <v>172</v>
      </c>
      <c r="B20" s="303" t="s">
        <v>110</v>
      </c>
      <c r="C20" s="303">
        <v>24</v>
      </c>
      <c r="D20" s="303"/>
      <c r="E20" s="307">
        <f>AVERAGE(LOOKUP(C20,F!$A$12:$A$36,F!$E$12:$E$36),LOOKUP(C20,F!$A$12:$A$36,F!$F$12:$F$36),LOOKUP(C20,F!$A$12:$A$36,F!$G$12:$G$36),LOOKUP(C20,F!$A$12:$A$36,F!$H$12:$H$36),LOOKUP(C20,F!$A$12:$A$36,F!$I$12:$I$36),LOOKUP(C20,F!$A$12:$A$36,F!$J$12:$J$36))</f>
        <v>1.05</v>
      </c>
      <c r="F20" s="303">
        <f>SUM(E20:E25)+6*1.13792</f>
        <v>13.045853333333334</v>
      </c>
      <c r="G20" s="303">
        <v>13.3</v>
      </c>
    </row>
    <row r="21" spans="1:7">
      <c r="A21" s="87"/>
      <c r="B21" s="185"/>
      <c r="C21" s="185">
        <v>23</v>
      </c>
      <c r="E21" s="306">
        <f>AVERAGE(LOOKUP(C21,F!$A$12:$A$36,F!$E$12:$E$36),LOOKUP(C21,F!$A$12:$A$36,F!$F$12:$F$36),LOOKUP(C21,F!$A$12:$A$36,F!$G$12:$G$36),LOOKUP(C21,F!$A$12:$A$36,F!$H$12:$H$36),LOOKUP(C21,F!$A$12:$A$36,F!$I$12:$I$36),LOOKUP(C21,F!$A$12:$A$36,F!$J$12:$J$36))</f>
        <v>1.0149999999999999</v>
      </c>
      <c r="F21" s="185"/>
      <c r="G21" s="185"/>
    </row>
    <row r="22" spans="1:7">
      <c r="A22" s="87"/>
      <c r="B22" s="185"/>
      <c r="C22" s="185">
        <v>22</v>
      </c>
      <c r="E22" s="306">
        <f>AVERAGE(LOOKUP(C22,F!$A$12:$A$36,F!$E$12:$E$36),LOOKUP(C22,F!$A$12:$A$36,F!$F$12:$F$36),LOOKUP(C22,F!$A$12:$A$36,F!$G$12:$G$36),LOOKUP(C22,F!$A$12:$A$36,F!$H$12:$H$36),LOOKUP(C22,F!$A$12:$A$36,F!$I$12:$I$36),LOOKUP(C22,F!$A$12:$A$36,F!$J$12:$J$36))</f>
        <v>1.031666666666667</v>
      </c>
      <c r="F22" s="185"/>
      <c r="G22" s="185"/>
    </row>
    <row r="23" spans="1:7">
      <c r="A23" s="87"/>
      <c r="B23" s="185"/>
      <c r="C23" s="185">
        <v>21</v>
      </c>
      <c r="E23" s="306">
        <f>AVERAGE(LOOKUP(C23,F!$A$12:$A$36,F!$E$12:$E$36),LOOKUP(C23,F!$A$12:$A$36,F!$F$12:$F$36),LOOKUP(C23,F!$A$12:$A$36,F!$G$12:$G$36),LOOKUP(C23,F!$A$12:$A$36,F!$H$12:$H$36),LOOKUP(C23,F!$A$12:$A$36,F!$I$12:$I$36),LOOKUP(C23,F!$A$12:$A$36,F!$J$12:$J$36))</f>
        <v>1.0283333333333335</v>
      </c>
      <c r="F23" s="185"/>
      <c r="G23" s="185"/>
    </row>
    <row r="24" spans="1:7">
      <c r="A24" s="87"/>
      <c r="B24" s="185"/>
      <c r="C24" s="185">
        <v>20</v>
      </c>
      <c r="E24" s="306">
        <f>AVERAGE(LOOKUP(C24,F!$A$12:$A$36,F!$E$12:$E$36),LOOKUP(C24,F!$A$12:$A$36,F!$F$12:$F$36),LOOKUP(C24,F!$A$12:$A$36,F!$G$12:$G$36),LOOKUP(C24,F!$A$12:$A$36,F!$H$12:$H$36),LOOKUP(C24,F!$A$12:$A$36,F!$I$12:$I$36),LOOKUP(C24,F!$A$12:$A$36,F!$J$12:$J$36))</f>
        <v>1.0583333333333333</v>
      </c>
      <c r="F24" s="185"/>
      <c r="G24" s="185"/>
    </row>
    <row r="25" spans="1:7">
      <c r="A25" s="323"/>
      <c r="B25" s="324" t="s">
        <v>111</v>
      </c>
      <c r="C25" s="324">
        <v>19</v>
      </c>
      <c r="D25" s="323"/>
      <c r="E25" s="306">
        <f>AVERAGE(LOOKUP(C25,F!$A$12:$A$36,F!$E$12:$E$36),LOOKUP(C25,F!$A$12:$A$36,F!$F$12:$F$36),LOOKUP(C25,F!$A$12:$A$36,F!$G$12:$G$36),LOOKUP(C25,F!$A$12:$A$36,F!$H$12:$H$36),LOOKUP(C25,F!$A$12:$A$36,F!$I$12:$I$36),LOOKUP(C25,F!$A$12:$A$36,F!$J$12:$J$36))</f>
        <v>1.0349999999999999</v>
      </c>
      <c r="F25" s="324"/>
      <c r="G25" s="324"/>
    </row>
    <row r="26" spans="1:7">
      <c r="E26" s="14"/>
    </row>
  </sheetData>
  <phoneticPr fontId="16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>
      <selection activeCell="F15" sqref="F15"/>
    </sheetView>
  </sheetViews>
  <sheetFormatPr baseColWidth="10" defaultRowHeight="14" x14ac:dyDescent="0"/>
  <cols>
    <col min="1" max="1" width="17" customWidth="1"/>
    <col min="4" max="4" width="16.1640625" customWidth="1"/>
    <col min="5" max="5" width="25" customWidth="1"/>
    <col min="6" max="7" width="38" customWidth="1"/>
  </cols>
  <sheetData>
    <row r="1" spans="1:7" ht="23">
      <c r="A1" s="304" t="s">
        <v>106</v>
      </c>
      <c r="B1" s="304" t="s">
        <v>108</v>
      </c>
      <c r="C1" s="304" t="s">
        <v>166</v>
      </c>
      <c r="D1" s="309" t="s">
        <v>126</v>
      </c>
      <c r="E1" s="304" t="s">
        <v>115</v>
      </c>
      <c r="F1" s="304" t="s">
        <v>117</v>
      </c>
      <c r="G1" s="304" t="s">
        <v>118</v>
      </c>
    </row>
    <row r="2" spans="1:7">
      <c r="A2" s="87" t="s">
        <v>173</v>
      </c>
      <c r="B2" s="185" t="s">
        <v>110</v>
      </c>
      <c r="C2" s="185">
        <v>30</v>
      </c>
      <c r="D2" s="303"/>
      <c r="E2" s="306">
        <f>AVERAGE(LOOKUP(C2,Fs!$A$12:$A$30,Fs!$E$12:$E$30),LOOKUP(C2,Fs!$A$12:$A$30,Fs!$F$12:$F$30),LOOKUP(C2,Fs!$A$12:$A$30,F!$G$12:$G$30),LOOKUP(C2,Fs!$A$12:$A$30,F!$H$12:$H$30))</f>
        <v>1.0125</v>
      </c>
      <c r="F2" s="185">
        <f>SUM(E2:E7)+6*1.13792</f>
        <v>12.957519999999999</v>
      </c>
      <c r="G2" s="185">
        <v>13.18</v>
      </c>
    </row>
    <row r="3" spans="1:7">
      <c r="A3" s="87"/>
      <c r="B3" s="185"/>
      <c r="C3" s="185">
        <v>29</v>
      </c>
      <c r="E3" s="306">
        <f>AVERAGE(LOOKUP(C3,Fs!$A$12:$A$30,Fs!$E$12:$E$30),LOOKUP(C3,Fs!$A$12:$A$30,Fs!$F$12:$F$30),LOOKUP(C3,Fs!$A$12:$A$30,F!$G$12:$G$30),LOOKUP(C3,Fs!$A$12:$A$30,F!$H$12:$H$30))</f>
        <v>1.0425</v>
      </c>
      <c r="F3" s="185"/>
      <c r="G3" s="185"/>
    </row>
    <row r="4" spans="1:7">
      <c r="A4" s="87"/>
      <c r="B4" s="185"/>
      <c r="C4" s="185">
        <v>28</v>
      </c>
      <c r="E4" s="306">
        <f>AVERAGE(LOOKUP(C4,Fs!$A$12:$A$30,Fs!$E$12:$E$30),LOOKUP(C4,Fs!$A$12:$A$30,Fs!$F$12:$F$30),LOOKUP(C4,Fs!$A$12:$A$30,F!$G$12:$G$30),LOOKUP(C4,Fs!$A$12:$A$30,F!$H$12:$H$30))</f>
        <v>1.0449999999999999</v>
      </c>
      <c r="F4" s="185"/>
      <c r="G4" s="185"/>
    </row>
    <row r="5" spans="1:7">
      <c r="A5" s="87"/>
      <c r="B5" s="185"/>
      <c r="C5" s="185">
        <v>27</v>
      </c>
      <c r="E5" s="306">
        <f>AVERAGE(LOOKUP(C5,Fs!$A$12:$A$30,Fs!$E$12:$E$30),LOOKUP(C5,Fs!$A$12:$A$30,Fs!$F$12:$F$30),LOOKUP(C5,Fs!$A$12:$A$30,F!$G$12:$G$30),LOOKUP(C5,Fs!$A$12:$A$30,F!$H$12:$H$30))</f>
        <v>1.0325</v>
      </c>
      <c r="F5" s="185"/>
      <c r="G5" s="185"/>
    </row>
    <row r="6" spans="1:7">
      <c r="A6" s="87"/>
      <c r="B6" s="185"/>
      <c r="C6" s="185">
        <v>26</v>
      </c>
      <c r="E6" s="306">
        <f>AVERAGE(LOOKUP(C6,Fs!$A$12:$A$30,Fs!$E$12:$E$30),LOOKUP(C6,Fs!$A$12:$A$30,Fs!$F$12:$F$30),LOOKUP(C6,Fs!$A$12:$A$30,F!$G$12:$G$30),LOOKUP(C6,Fs!$A$12:$A$30,F!$H$12:$H$30))</f>
        <v>1.0075000000000001</v>
      </c>
      <c r="F6" s="185"/>
      <c r="G6" s="185"/>
    </row>
    <row r="7" spans="1:7">
      <c r="A7" s="87"/>
      <c r="B7" s="185" t="s">
        <v>111</v>
      </c>
      <c r="C7" s="185">
        <v>25</v>
      </c>
      <c r="E7" s="314">
        <f>AVERAGE(LOOKUP(C7,Fs!$A$12:$A$30,Fs!$E$12:$E$30),LOOKUP(C7,Fs!$A$12:$A$30,Fs!$F$12:$F$30),LOOKUP(C7,Fs!$A$12:$A$30,F!$G$12:$G$30),LOOKUP(C7,Fs!$A$12:$A$30,F!$H$12:$H$30))</f>
        <v>0.99</v>
      </c>
      <c r="F7" s="185"/>
      <c r="G7" s="185"/>
    </row>
    <row r="8" spans="1:7">
      <c r="A8" s="14" t="s">
        <v>174</v>
      </c>
      <c r="B8" s="303" t="s">
        <v>110</v>
      </c>
      <c r="C8" s="303">
        <v>36</v>
      </c>
      <c r="D8" s="303"/>
      <c r="E8" s="306">
        <f>AVERAGE(LOOKUP(C8,Fs!$A$12:$A$30,Fs!$E$12:$E$30),LOOKUP(C8,Fs!$A$12:$A$30,Fs!$F$12:$F$30),LOOKUP(C8,Fs!$A$12:$A$30,F!$G$12:$G$30),LOOKUP(C8,Fs!$A$12:$A$30,F!$H$12:$H$30))</f>
        <v>1.0275000000000001</v>
      </c>
      <c r="F8" s="303">
        <f>SUM(E8:E13)+6*1.13792</f>
        <v>12.97002</v>
      </c>
      <c r="G8" s="303">
        <v>12.96</v>
      </c>
    </row>
    <row r="9" spans="1:7">
      <c r="A9" s="87"/>
      <c r="B9" s="185"/>
      <c r="C9" s="185">
        <v>35</v>
      </c>
      <c r="E9" s="306">
        <f>AVERAGE(LOOKUP(C9,Fs!$A$12:$A$30,Fs!$E$12:$E$30),LOOKUP(C9,Fs!$A$12:$A$30,Fs!$F$12:$F$30),LOOKUP(C9,Fs!$A$12:$A$30,F!$G$12:$G$30),LOOKUP(C9,Fs!$A$12:$A$30,F!$H$12:$H$30))</f>
        <v>1.03</v>
      </c>
      <c r="F9" s="185"/>
      <c r="G9" s="185"/>
    </row>
    <row r="10" spans="1:7">
      <c r="A10" s="87"/>
      <c r="B10" s="185"/>
      <c r="C10" s="185">
        <v>34</v>
      </c>
      <c r="E10" s="306">
        <f>AVERAGE(LOOKUP(C10,Fs!$A$12:$A$30,Fs!$E$12:$E$30),LOOKUP(C10,Fs!$A$12:$A$30,Fs!$F$12:$F$30),LOOKUP(C10,Fs!$A$12:$A$30,F!$G$12:$G$30),LOOKUP(C10,Fs!$A$12:$A$30,F!$H$12:$H$30))</f>
        <v>1.0075000000000001</v>
      </c>
      <c r="F10" s="185"/>
      <c r="G10" s="185"/>
    </row>
    <row r="11" spans="1:7">
      <c r="A11" s="87"/>
      <c r="B11" s="185"/>
      <c r="C11" s="185">
        <v>33</v>
      </c>
      <c r="E11" s="306">
        <f>AVERAGE(LOOKUP(C11,Fs!$A$12:$A$30,Fs!$E$12:$E$30),LOOKUP(C11,Fs!$A$12:$A$30,Fs!$F$12:$F$30),LOOKUP(C11,Fs!$A$12:$A$30,F!$G$12:$G$30),LOOKUP(C11,Fs!$A$12:$A$30,F!$H$12:$H$30))</f>
        <v>1.0275000000000001</v>
      </c>
      <c r="F11" s="185"/>
      <c r="G11" s="185"/>
    </row>
    <row r="12" spans="1:7">
      <c r="A12" s="87"/>
      <c r="B12" s="185"/>
      <c r="C12" s="185">
        <v>32</v>
      </c>
      <c r="E12" s="306">
        <f>AVERAGE(LOOKUP(C12,Fs!$A$12:$A$30,Fs!$E$12:$E$30),LOOKUP(C12,Fs!$A$12:$A$30,Fs!$F$12:$F$30),LOOKUP(C12,Fs!$A$12:$A$30,F!$G$12:$G$30),LOOKUP(C12,Fs!$A$12:$A$30,F!$H$12:$H$30))</f>
        <v>1.0275000000000001</v>
      </c>
      <c r="F12" s="185"/>
      <c r="G12" s="185"/>
    </row>
    <row r="13" spans="1:7">
      <c r="A13" s="87"/>
      <c r="B13" s="185" t="s">
        <v>111</v>
      </c>
      <c r="C13" s="185">
        <v>31</v>
      </c>
      <c r="E13" s="314">
        <f>AVERAGE(LOOKUP(C13,Fs!$A$12:$A$30,Fs!$E$12:$E$30),LOOKUP(C13,Fs!$A$12:$A$30,Fs!$F$12:$F$30),LOOKUP(C13,Fs!$A$12:$A$30,F!$G$12:$G$30),LOOKUP(C13,Fs!$A$12:$A$30,F!$H$12:$H$30))</f>
        <v>1.0225000000000002</v>
      </c>
      <c r="F13" s="185"/>
      <c r="G13" s="185"/>
    </row>
    <row r="14" spans="1:7">
      <c r="A14" s="14" t="s">
        <v>175</v>
      </c>
      <c r="B14" s="303" t="s">
        <v>110</v>
      </c>
      <c r="C14" s="303">
        <v>43</v>
      </c>
      <c r="D14" s="303"/>
      <c r="E14" s="306">
        <f>AVERAGE(LOOKUP(C14,Fs!$A$12:$A$30,Fs!$E$12:$E$30),LOOKUP(C14,Fs!$A$12:$A$30,Fs!$F$12:$F$30),LOOKUP(C14,Fs!$A$12:$A$30,F!$G$12:$G$30),LOOKUP(C14,Fs!$A$12:$A$30,F!$H$12:$H$30))</f>
        <v>1.0150000000000001</v>
      </c>
      <c r="F14" s="303">
        <f>SUM(E14:E19)+6*1.13792</f>
        <v>12.98002</v>
      </c>
      <c r="G14" s="303">
        <v>13.13</v>
      </c>
    </row>
    <row r="15" spans="1:7">
      <c r="A15" s="87"/>
      <c r="B15" s="185"/>
      <c r="C15" s="185">
        <v>41</v>
      </c>
      <c r="E15" s="306">
        <f>AVERAGE(LOOKUP(C15,Fs!$A$12:$A$30,Fs!$E$12:$E$30),LOOKUP(C15,Fs!$A$12:$A$30,Fs!$F$12:$F$30),LOOKUP(C15,Fs!$A$12:$A$30,F!$G$12:$G$30),LOOKUP(C15,Fs!$A$12:$A$30,F!$H$12:$H$30))</f>
        <v>1.0275000000000001</v>
      </c>
      <c r="F15" s="185"/>
      <c r="G15" s="185"/>
    </row>
    <row r="16" spans="1:7">
      <c r="A16" s="87"/>
      <c r="B16" s="185"/>
      <c r="C16" s="185">
        <v>40</v>
      </c>
      <c r="E16" s="306">
        <f>AVERAGE(LOOKUP(C16,Fs!$A$12:$A$30,Fs!$E$12:$E$30),LOOKUP(C16,Fs!$A$12:$A$30,Fs!$F$12:$F$30),LOOKUP(C16,Fs!$A$12:$A$30,F!$G$12:$G$30),LOOKUP(C16,Fs!$A$12:$A$30,F!$H$12:$H$30))</f>
        <v>0.995</v>
      </c>
      <c r="F16" s="185"/>
      <c r="G16" s="185"/>
    </row>
    <row r="17" spans="1:7">
      <c r="A17" s="87"/>
      <c r="B17" s="185"/>
      <c r="C17" s="185">
        <v>39</v>
      </c>
      <c r="E17" s="306">
        <f>AVERAGE(LOOKUP(C17,Fs!$A$12:$A$30,Fs!$E$12:$E$30),LOOKUP(C17,Fs!$A$12:$A$30,Fs!$F$12:$F$30),LOOKUP(C17,Fs!$A$12:$A$30,F!$G$12:$G$30),LOOKUP(C17,Fs!$A$12:$A$30,F!$H$12:$H$30))</f>
        <v>1.0449999999999999</v>
      </c>
      <c r="F17" s="185"/>
      <c r="G17" s="185"/>
    </row>
    <row r="18" spans="1:7">
      <c r="A18" s="87"/>
      <c r="B18" s="185"/>
      <c r="C18" s="185">
        <v>38</v>
      </c>
      <c r="E18" s="306">
        <f>AVERAGE(LOOKUP(C18,Fs!$A$12:$A$30,Fs!$E$12:$E$30),LOOKUP(C18,Fs!$A$12:$A$30,Fs!$F$12:$F$30),LOOKUP(C18,Fs!$A$12:$A$30,F!$G$12:$G$30),LOOKUP(C18,Fs!$A$12:$A$30,F!$H$12:$H$30))</f>
        <v>1.0325</v>
      </c>
      <c r="F18" s="185"/>
      <c r="G18" s="185"/>
    </row>
    <row r="19" spans="1:7">
      <c r="A19" s="103"/>
      <c r="B19" s="253" t="s">
        <v>111</v>
      </c>
      <c r="C19" s="253">
        <v>37</v>
      </c>
      <c r="D19" s="103"/>
      <c r="E19" s="314">
        <f>AVERAGE(LOOKUP(C19,Fs!$A$12:$A$30,Fs!$E$12:$E$30),LOOKUP(C19,Fs!$A$12:$A$30,Fs!$F$12:$F$30),LOOKUP(C19,Fs!$A$12:$A$30,F!$G$12:$G$30),LOOKUP(C19,Fs!$A$12:$A$30,F!$H$12:$H$30))</f>
        <v>1.0375000000000001</v>
      </c>
      <c r="F19" s="253"/>
      <c r="G19" s="253"/>
    </row>
    <row r="20" spans="1:7">
      <c r="E20" s="87"/>
    </row>
  </sheetData>
  <phoneticPr fontId="16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zoomScale="150" zoomScaleNormal="150" zoomScalePageLayoutView="150" workbookViewId="0">
      <selection activeCell="H17" sqref="H17"/>
    </sheetView>
  </sheetViews>
  <sheetFormatPr baseColWidth="10" defaultRowHeight="14" x14ac:dyDescent="0"/>
  <cols>
    <col min="1" max="1" width="18.83203125" customWidth="1"/>
    <col min="4" max="4" width="15.5" customWidth="1"/>
    <col min="5" max="5" width="24.5" customWidth="1"/>
    <col min="6" max="7" width="37.5" customWidth="1"/>
  </cols>
  <sheetData>
    <row r="1" spans="1:8" ht="23">
      <c r="A1" s="304" t="s">
        <v>106</v>
      </c>
      <c r="B1" s="304" t="s">
        <v>108</v>
      </c>
      <c r="C1" s="304" t="s">
        <v>180</v>
      </c>
      <c r="D1" s="309" t="s">
        <v>126</v>
      </c>
      <c r="E1" s="304" t="s">
        <v>115</v>
      </c>
      <c r="F1" s="304" t="s">
        <v>117</v>
      </c>
      <c r="G1" s="304" t="s">
        <v>118</v>
      </c>
    </row>
    <row r="2" spans="1:8">
      <c r="A2" s="87" t="s">
        <v>176</v>
      </c>
      <c r="B2" s="185" t="s">
        <v>110</v>
      </c>
      <c r="C2" s="185">
        <v>5</v>
      </c>
      <c r="D2" s="303"/>
      <c r="E2" s="306">
        <f>AVERAGE(LOOKUP(C2,G!$A$12:$A$32,G!$E$12:$E$32),LOOKUP(C2,G!$A$12:$A$32,G!$F$12:$F$32),LOOKUP(C2,G!$A$12:$A$32,G!$G$12:$G$32),LOOKUP(C2,G!$A$12:$A$32,G!$H$12:$H$32),LOOKUP(C2,G!$A$12:$A$32,G!$I$12:$I$32),LOOKUP(C2,G!$A$12:$A$32,G!$J$12:$J$32))</f>
        <v>1.3433333333333335</v>
      </c>
      <c r="F2" s="185">
        <f>SUM(E2:E6)+5*1.27</f>
        <v>12.958333333333334</v>
      </c>
      <c r="G2" s="185">
        <v>12.91</v>
      </c>
    </row>
    <row r="3" spans="1:8">
      <c r="A3" s="87"/>
      <c r="B3" s="185"/>
      <c r="C3" s="185">
        <v>4</v>
      </c>
      <c r="E3" s="306">
        <f>AVERAGE(LOOKUP(C3,G!$A$12:$A$32,G!$E$12:$E$32),LOOKUP(C3,G!$A$12:$A$32,G!$F$12:$F$32),LOOKUP(C3,G!$A$12:$A$32,G!$G$12:$G$32),LOOKUP(C3,G!$A$12:$A$32,G!$H$12:$H$32),LOOKUP(C3,G!$A$12:$A$32,G!$I$12:$I$32),LOOKUP(C3,G!$A$12:$A$32,G!$J$12:$J$32))</f>
        <v>1.3233333333333333</v>
      </c>
      <c r="F3" s="185"/>
      <c r="G3" s="185"/>
    </row>
    <row r="4" spans="1:8">
      <c r="A4" s="87"/>
      <c r="B4" s="185"/>
      <c r="C4" s="185">
        <v>3</v>
      </c>
      <c r="E4" s="306">
        <f>AVERAGE(LOOKUP(C4,G!$A$12:$A$32,G!$E$12:$E$32),LOOKUP(C4,G!$A$12:$A$32,G!$F$12:$F$32),LOOKUP(C4,G!$A$12:$A$32,G!$G$12:$G$32),LOOKUP(C4,G!$A$12:$A$32,G!$H$12:$H$32),LOOKUP(C4,G!$A$12:$A$32,G!$I$12:$I$32),LOOKUP(C4,G!$A$12:$A$32,G!$J$12:$J$32))</f>
        <v>1.3183333333333334</v>
      </c>
      <c r="F4" s="185"/>
      <c r="G4" s="185"/>
    </row>
    <row r="5" spans="1:8">
      <c r="A5" s="87"/>
      <c r="B5" s="185"/>
      <c r="C5" s="185">
        <v>2</v>
      </c>
      <c r="E5" s="306">
        <f>AVERAGE(LOOKUP(C5,G!$A$12:$A$32,G!$E$12:$E$32),LOOKUP(C5,G!$A$12:$A$32,G!$F$12:$F$32),LOOKUP(C5,G!$A$12:$A$32,G!$G$12:$G$32),LOOKUP(C5,G!$A$12:$A$32,G!$H$12:$H$32),LOOKUP(C5,G!$A$12:$A$32,G!$I$12:$I$32),LOOKUP(C5,G!$A$12:$A$32,G!$J$12:$J$32))</f>
        <v>1.3183333333333334</v>
      </c>
      <c r="F5" s="185"/>
      <c r="G5" s="185"/>
    </row>
    <row r="6" spans="1:8">
      <c r="A6" s="87"/>
      <c r="B6" s="185" t="s">
        <v>111</v>
      </c>
      <c r="C6" s="185">
        <v>1</v>
      </c>
      <c r="E6" s="314">
        <f>AVERAGE(LOOKUP(C6,G!$A$12:$A$32,G!$E$12:$E$32),LOOKUP(C6,G!$A$12:$A$32,G!$F$12:$F$32),LOOKUP(C6,G!$A$12:$A$32,G!$G$12:$G$32),LOOKUP(C6,G!$A$12:$A$32,G!$H$12:$H$32),LOOKUP(C6,G!$A$12:$A$32,G!$I$12:$I$32),LOOKUP(C6,G!$A$12:$A$32,G!$J$12:$J$32))</f>
        <v>1.3050000000000002</v>
      </c>
      <c r="F6" s="185"/>
      <c r="G6" s="185"/>
    </row>
    <row r="7" spans="1:8">
      <c r="A7" s="14" t="s">
        <v>177</v>
      </c>
      <c r="B7" s="303" t="s">
        <v>110</v>
      </c>
      <c r="C7" s="303">
        <v>10</v>
      </c>
      <c r="D7" s="303"/>
      <c r="E7" s="306">
        <f>AVERAGE(LOOKUP(C7,G!$A$12:$A$32,G!$E$12:$E$32),LOOKUP(C7,G!$A$12:$A$32,G!$F$12:$F$32),LOOKUP(C7,G!$A$12:$A$32,G!$G$12:$G$32),LOOKUP(C7,G!$A$12:$A$32,G!$H$12:$H$32),LOOKUP(C7,G!$A$12:$A$32,G!$I$12:$I$32),LOOKUP(C7,G!$A$12:$A$32,G!$J$12:$J$32))</f>
        <v>1.3250000000000002</v>
      </c>
      <c r="F7" s="303">
        <f>SUM(E7:E11)+5*1.27</f>
        <v>13</v>
      </c>
      <c r="G7" s="303">
        <v>13.09</v>
      </c>
      <c r="H7" t="s">
        <v>214</v>
      </c>
    </row>
    <row r="8" spans="1:8">
      <c r="A8" s="87"/>
      <c r="B8" s="185"/>
      <c r="C8" s="185">
        <v>15</v>
      </c>
      <c r="E8" s="306">
        <f>AVERAGE(LOOKUP(C8,G!$A$12:$A$32,G!$E$12:$E$32),LOOKUP(C8,G!$A$12:$A$32,G!$F$12:$F$32),LOOKUP(C8,G!$A$12:$A$32,G!$G$12:$G$32),LOOKUP(C8,G!$A$12:$A$32,G!$H$12:$H$32),LOOKUP(C8,G!$A$12:$A$32,G!$I$12:$I$32),LOOKUP(C8,G!$A$12:$A$32,G!$J$12:$J$32))</f>
        <v>1.36</v>
      </c>
      <c r="F8" s="185"/>
      <c r="G8" s="185"/>
    </row>
    <row r="9" spans="1:8">
      <c r="A9" s="87"/>
      <c r="B9" s="185"/>
      <c r="C9" s="185">
        <v>8</v>
      </c>
      <c r="E9" s="306">
        <f>AVERAGE(LOOKUP(C9,G!$A$12:$A$32,G!$E$12:$E$32),LOOKUP(C9,G!$A$12:$A$32,G!$F$12:$F$32),LOOKUP(C9,G!$A$12:$A$32,G!$G$12:$G$32),LOOKUP(C9,G!$A$12:$A$32,G!$H$12:$H$32),LOOKUP(C9,G!$A$12:$A$32,G!$I$12:$I$32),LOOKUP(C9,G!$A$12:$A$32,G!$J$12:$J$32))</f>
        <v>1.3183333333333334</v>
      </c>
      <c r="F9" s="185"/>
      <c r="G9" s="185"/>
    </row>
    <row r="10" spans="1:8">
      <c r="A10" s="87"/>
      <c r="B10" s="185"/>
      <c r="C10" s="185">
        <v>7</v>
      </c>
      <c r="E10" s="306">
        <f>AVERAGE(LOOKUP(C10,G!$A$12:$A$32,G!$E$12:$E$32),LOOKUP(C10,G!$A$12:$A$32,G!$F$12:$F$32),LOOKUP(C10,G!$A$12:$A$32,G!$G$12:$G$32),LOOKUP(C10,G!$A$12:$A$32,G!$H$12:$H$32),LOOKUP(C10,G!$A$12:$A$32,G!$I$12:$I$32),LOOKUP(C10,G!$A$12:$A$32,G!$J$12:$J$32))</f>
        <v>1.3</v>
      </c>
      <c r="F10" s="185"/>
      <c r="G10" s="185"/>
    </row>
    <row r="11" spans="1:8">
      <c r="A11" s="87"/>
      <c r="B11" s="185" t="s">
        <v>111</v>
      </c>
      <c r="C11" s="185">
        <v>6</v>
      </c>
      <c r="E11" s="314">
        <f>AVERAGE(LOOKUP(C11,G!$A$12:$A$32,G!$E$12:$E$32),LOOKUP(C11,G!$A$12:$A$32,G!$F$12:$F$32),LOOKUP(C11,G!$A$12:$A$32,G!$G$12:$G$32),LOOKUP(C11,G!$A$12:$A$32,G!$H$12:$H$32),LOOKUP(C11,G!$A$12:$A$32,G!$I$12:$I$32),LOOKUP(C11,G!$A$12:$A$32,G!$J$12:$J$32))</f>
        <v>1.3466666666666667</v>
      </c>
      <c r="F11" s="185"/>
      <c r="G11" s="185"/>
    </row>
    <row r="12" spans="1:8">
      <c r="A12" s="14" t="s">
        <v>178</v>
      </c>
      <c r="B12" s="303" t="s">
        <v>110</v>
      </c>
      <c r="C12" s="303">
        <v>9</v>
      </c>
      <c r="D12" s="303"/>
      <c r="E12" s="306">
        <f>AVERAGE(LOOKUP(C12,G!$A$12:$A$32,G!$E$12:$E$32),LOOKUP(C12,G!$A$12:$A$32,G!$F$12:$F$32),LOOKUP(C12,G!$A$12:$A$32,G!$G$12:$G$32),LOOKUP(C12,G!$A$12:$A$32,G!$H$12:$H$32),LOOKUP(C12,G!$A$12:$A$32,G!$I$12:$I$32),LOOKUP(C12,G!$A$12:$A$32,G!$J$12:$J$32))</f>
        <v>1.2949999999999999</v>
      </c>
      <c r="F12" s="303">
        <f>SUM(E12:E16)+5*1.27</f>
        <v>12.966666666666667</v>
      </c>
      <c r="G12" s="303">
        <v>13.06</v>
      </c>
      <c r="H12" t="s">
        <v>214</v>
      </c>
    </row>
    <row r="13" spans="1:8">
      <c r="A13" s="87"/>
      <c r="B13" s="185"/>
      <c r="C13" s="185">
        <v>14</v>
      </c>
      <c r="E13" s="306">
        <f>AVERAGE(LOOKUP(C13,G!$A$12:$A$32,G!$E$12:$E$32),LOOKUP(C13,G!$A$12:$A$32,G!$F$12:$F$32),LOOKUP(C13,G!$A$12:$A$32,G!$G$12:$G$32),LOOKUP(C13,G!$A$12:$A$32,G!$H$12:$H$32),LOOKUP(C13,G!$A$12:$A$32,G!$I$12:$I$32),LOOKUP(C13,G!$A$12:$A$32,G!$J$12:$J$32))</f>
        <v>1.33</v>
      </c>
      <c r="F13" s="185"/>
      <c r="G13" s="185"/>
    </row>
    <row r="14" spans="1:8">
      <c r="A14" s="87"/>
      <c r="B14" s="185"/>
      <c r="C14" s="185">
        <v>13</v>
      </c>
      <c r="E14" s="306">
        <f>AVERAGE(LOOKUP(C14,G!$A$12:$A$32,G!$E$12:$E$32),LOOKUP(C14,G!$A$12:$A$32,G!$F$12:$F$32),LOOKUP(C14,G!$A$12:$A$32,G!$G$12:$G$32),LOOKUP(C14,G!$A$12:$A$32,G!$H$12:$H$32),LOOKUP(C14,G!$A$12:$A$32,G!$I$12:$I$32),LOOKUP(C14,G!$A$12:$A$32,G!$J$12:$J$32))</f>
        <v>1.3266666666666667</v>
      </c>
      <c r="F14" s="185"/>
      <c r="G14" s="185"/>
    </row>
    <row r="15" spans="1:8">
      <c r="A15" s="87"/>
      <c r="B15" s="185"/>
      <c r="C15" s="185">
        <v>17</v>
      </c>
      <c r="D15" t="s">
        <v>213</v>
      </c>
      <c r="E15" s="306">
        <f>AVERAGE(LOOKUP(C15,G!$A$12:$A$32,G!$E$12:$E$32),LOOKUP(C15,G!$A$12:$A$32,G!$F$12:$F$32),LOOKUP(C15,G!$A$12:$A$32,G!$G$12:$G$32),LOOKUP(C15,G!$A$12:$A$32,G!$H$12:$H$32),LOOKUP(C15,G!$A$12:$A$32,G!$I$12:$I$32),LOOKUP(C15,G!$A$12:$A$32,G!$J$12:$J$32))</f>
        <v>1.3016666666666667</v>
      </c>
      <c r="F15" s="185"/>
      <c r="G15" s="185"/>
    </row>
    <row r="16" spans="1:8">
      <c r="A16" s="87"/>
      <c r="B16" s="185" t="s">
        <v>111</v>
      </c>
      <c r="C16" s="185">
        <v>16</v>
      </c>
      <c r="D16" t="s">
        <v>213</v>
      </c>
      <c r="E16" s="314">
        <f>AVERAGE(LOOKUP(C16,G!$A$12:$A$32,G!$E$12:$E$32),LOOKUP(C16,G!$A$12:$A$32,G!$F$12:$F$32),LOOKUP(C16,G!$A$12:$A$32,G!$G$12:$G$32),LOOKUP(C16,G!$A$12:$A$32,G!$H$12:$H$32),LOOKUP(C16,G!$A$12:$A$32,G!$I$12:$I$32),LOOKUP(C16,G!$A$12:$A$32,G!$J$12:$J$32))</f>
        <v>1.3633333333333333</v>
      </c>
      <c r="F16" s="185"/>
      <c r="G16" s="185"/>
    </row>
    <row r="17" spans="1:8">
      <c r="A17" s="14" t="s">
        <v>179</v>
      </c>
      <c r="B17" s="303" t="s">
        <v>110</v>
      </c>
      <c r="C17" s="303">
        <v>20</v>
      </c>
      <c r="D17" s="303"/>
      <c r="E17" s="306">
        <f>AVERAGE(LOOKUP(C17,G!$A$12:$A$32,G!$E$12:$E$32),LOOKUP(C17,G!$A$12:$A$32,G!$F$12:$F$32),LOOKUP(C17,G!$A$12:$A$32,G!$G$12:$G$32),LOOKUP(C17,G!$A$12:$A$32,G!$H$12:$H$32),LOOKUP(C17,G!$A$12:$A$32,G!$I$12:$I$32),LOOKUP(C17,G!$A$12:$A$32,G!$J$12:$J$32))</f>
        <v>1.2883333333333333</v>
      </c>
      <c r="F17" s="303">
        <f>SUM(E17:E21)+5*1.27</f>
        <v>12.903333333333332</v>
      </c>
      <c r="G17" s="303">
        <v>13.01</v>
      </c>
      <c r="H17" t="s">
        <v>214</v>
      </c>
    </row>
    <row r="18" spans="1:8">
      <c r="A18" s="87"/>
      <c r="B18" s="185"/>
      <c r="C18" s="185">
        <v>19</v>
      </c>
      <c r="E18" s="306">
        <f>AVERAGE(LOOKUP(C18,G!$A$12:$A$32,G!$E$12:$E$32),LOOKUP(C18,G!$A$12:$A$32,G!$F$12:$F$32),LOOKUP(C18,G!$A$12:$A$32,G!$G$12:$G$32),LOOKUP(C18,G!$A$12:$A$32,G!$H$12:$H$32),LOOKUP(C18,G!$A$12:$A$32,G!$I$12:$I$32),LOOKUP(C18,G!$A$12:$A$32,G!$J$12:$J$32))</f>
        <v>1.2966666666666666</v>
      </c>
      <c r="F18" s="185"/>
      <c r="G18" s="185"/>
    </row>
    <row r="19" spans="1:8">
      <c r="A19" s="87"/>
      <c r="B19" s="185"/>
      <c r="C19" s="185">
        <v>18</v>
      </c>
      <c r="E19" s="306">
        <f>AVERAGE(LOOKUP(C19,G!$A$12:$A$32,G!$E$12:$E$32),LOOKUP(C19,G!$A$12:$A$32,G!$F$12:$F$32),LOOKUP(C19,G!$A$12:$A$32,G!$G$12:$G$32),LOOKUP(C19,G!$A$12:$A$32,G!$H$12:$H$32),LOOKUP(C19,G!$A$12:$A$32,G!$I$12:$I$32),LOOKUP(C19,G!$A$12:$A$32,G!$J$12:$J$32))</f>
        <v>1.3083333333333333</v>
      </c>
      <c r="F19" s="185"/>
      <c r="G19" s="185"/>
    </row>
    <row r="20" spans="1:8">
      <c r="A20" s="87"/>
      <c r="B20" s="185"/>
      <c r="C20" s="185">
        <v>12</v>
      </c>
      <c r="E20" s="306">
        <f>AVERAGE(LOOKUP(C20,G!$A$12:$A$32,G!$E$12:$E$32),LOOKUP(C20,G!$A$12:$A$32,G!$F$12:$F$32),LOOKUP(C20,G!$A$12:$A$32,G!$G$12:$G$32),LOOKUP(C20,G!$A$12:$A$32,G!$H$12:$H$32),LOOKUP(C20,G!$A$12:$A$32,G!$I$12:$I$32),LOOKUP(C20,G!$A$12:$A$32,G!$J$12:$J$32))</f>
        <v>1.3250000000000002</v>
      </c>
      <c r="F20" s="185"/>
      <c r="G20" s="185"/>
    </row>
    <row r="21" spans="1:8">
      <c r="A21" s="323"/>
      <c r="B21" s="324" t="s">
        <v>111</v>
      </c>
      <c r="C21" s="324">
        <v>0</v>
      </c>
      <c r="D21" s="323"/>
      <c r="E21" s="306">
        <f>AVERAGE(LOOKUP(C21,G!$A$12:$A$32,G!$E$12:$E$32),LOOKUP(C21,G!$A$12:$A$32,G!$F$12:$F$32),LOOKUP(C21,G!$A$12:$A$32,G!$G$12:$G$32),LOOKUP(C21,G!$A$12:$A$32,G!$H$12:$H$32),LOOKUP(C21,G!$A$12:$A$32,G!$I$12:$I$32),LOOKUP(C21,G!$A$12:$A$32,G!$J$12:$J$32))</f>
        <v>1.335</v>
      </c>
      <c r="F21" s="324"/>
      <c r="G21" s="324"/>
    </row>
    <row r="22" spans="1:8">
      <c r="E22" s="14"/>
    </row>
  </sheetData>
  <phoneticPr fontId="16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F8" sqref="F8"/>
    </sheetView>
  </sheetViews>
  <sheetFormatPr baseColWidth="10" defaultRowHeight="14" x14ac:dyDescent="0"/>
  <cols>
    <col min="1" max="1" width="16.83203125" customWidth="1"/>
    <col min="4" max="4" width="16.83203125" customWidth="1"/>
    <col min="5" max="5" width="24.33203125" customWidth="1"/>
    <col min="6" max="7" width="38.1640625" customWidth="1"/>
  </cols>
  <sheetData>
    <row r="1" spans="1:7" ht="23">
      <c r="A1" s="304" t="s">
        <v>106</v>
      </c>
      <c r="B1" s="304" t="s">
        <v>108</v>
      </c>
      <c r="C1" s="304" t="s">
        <v>183</v>
      </c>
      <c r="D1" s="309" t="s">
        <v>126</v>
      </c>
      <c r="E1" s="304" t="s">
        <v>115</v>
      </c>
      <c r="F1" s="304" t="s">
        <v>117</v>
      </c>
      <c r="G1" s="304" t="s">
        <v>118</v>
      </c>
    </row>
    <row r="2" spans="1:7">
      <c r="A2" s="87" t="s">
        <v>182</v>
      </c>
      <c r="B2" s="185" t="s">
        <v>110</v>
      </c>
      <c r="C2" s="185">
        <v>26</v>
      </c>
      <c r="D2" s="303"/>
      <c r="E2" s="306">
        <f>AVERAGE(LOOKUP(C2,Gs!$A$12:$A$25,Gs!$E$12:$E$25),LOOKUP(C2,Gs!$A$12:$A$25,Gs!$F$12:$F$25),LOOKUP(C2,Gs!$A$12:$A$25,Gs!$G$12:$G$25),LOOKUP(C2,Gs!$A$12:$A$25,Gs!$H$12:$H$25))</f>
        <v>1.28</v>
      </c>
      <c r="F2" s="185">
        <f>SUM(E2:E6)+5*1.2954</f>
        <v>12.932</v>
      </c>
      <c r="G2" s="185">
        <v>13</v>
      </c>
    </row>
    <row r="3" spans="1:7">
      <c r="A3" s="87"/>
      <c r="B3" s="185"/>
      <c r="C3" s="185">
        <v>25</v>
      </c>
      <c r="E3" s="306">
        <f>AVERAGE(LOOKUP(C3,Gs!$A$12:$A$25,Gs!$E$12:$E$25),LOOKUP(C3,Gs!$A$12:$A$25,Gs!$F$12:$F$25),LOOKUP(C3,Gs!$A$12:$A$25,Gs!$G$12:$G$25),LOOKUP(C3,Gs!$A$12:$A$25,Gs!$H$12:$H$25))</f>
        <v>1.2975000000000001</v>
      </c>
      <c r="F3" s="185"/>
      <c r="G3" s="185"/>
    </row>
    <row r="4" spans="1:7">
      <c r="A4" s="87"/>
      <c r="B4" s="185"/>
      <c r="C4" s="185">
        <v>24</v>
      </c>
      <c r="E4" s="306">
        <f>AVERAGE(LOOKUP(C4,Gs!$A$12:$A$25,Gs!$E$12:$E$25),LOOKUP(C4,Gs!$A$12:$A$25,Gs!$F$12:$F$25),LOOKUP(C4,Gs!$A$12:$A$25,Gs!$G$12:$G$25),LOOKUP(C4,Gs!$A$12:$A$25,Gs!$H$12:$H$25))</f>
        <v>1.3025</v>
      </c>
      <c r="F4" s="185"/>
      <c r="G4" s="185"/>
    </row>
    <row r="5" spans="1:7">
      <c r="A5" s="87"/>
      <c r="B5" s="185"/>
      <c r="C5" s="185">
        <v>23</v>
      </c>
      <c r="E5" s="306">
        <f>AVERAGE(LOOKUP(C5,Gs!$A$12:$A$25,Gs!$E$12:$E$25),LOOKUP(C5,Gs!$A$12:$A$25,Gs!$F$12:$F$25),LOOKUP(C5,Gs!$A$12:$A$25,Gs!$G$12:$G$25),LOOKUP(C5,Gs!$A$12:$A$25,Gs!$H$12:$H$25))</f>
        <v>1.29</v>
      </c>
      <c r="F5" s="185"/>
      <c r="G5" s="185"/>
    </row>
    <row r="6" spans="1:7">
      <c r="A6" s="87"/>
      <c r="B6" s="185" t="s">
        <v>111</v>
      </c>
      <c r="C6" s="185">
        <v>21</v>
      </c>
      <c r="E6" s="314">
        <f>AVERAGE(LOOKUP(C6,Gs!$A$12:$A$25,Gs!$E$12:$E$25),LOOKUP(C6,Gs!$A$12:$A$25,Gs!$F$12:$F$25),LOOKUP(C6,Gs!$A$12:$A$25,Gs!$G$12:$G$25),LOOKUP(C6,Gs!$A$12:$A$25,Gs!$H$12:$H$25))</f>
        <v>1.2850000000000001</v>
      </c>
      <c r="F6" s="185"/>
      <c r="G6" s="185"/>
    </row>
    <row r="7" spans="1:7">
      <c r="A7" s="14" t="s">
        <v>181</v>
      </c>
      <c r="B7" s="303" t="s">
        <v>110</v>
      </c>
      <c r="C7" s="303">
        <v>32</v>
      </c>
      <c r="D7" s="303"/>
      <c r="E7" s="306">
        <f>AVERAGE(LOOKUP(C7,Gs!$A$12:$A$25,Gs!$E$12:$E$25),LOOKUP(C7,Gs!$A$12:$A$25,Gs!$F$12:$F$25),LOOKUP(C7,Gs!$A$12:$A$25,Gs!$G$12:$G$25),LOOKUP(C7,Gs!$A$12:$A$25,Gs!$H$12:$H$25))</f>
        <v>1.27</v>
      </c>
      <c r="F7" s="303">
        <f>SUM(E7:E11)+5*1.2954</f>
        <v>12.882000000000001</v>
      </c>
      <c r="G7" s="303">
        <v>12.92</v>
      </c>
    </row>
    <row r="8" spans="1:7">
      <c r="A8" s="87"/>
      <c r="B8" s="185"/>
      <c r="C8" s="185">
        <v>31</v>
      </c>
      <c r="E8" s="306">
        <f>AVERAGE(LOOKUP(C8,Gs!$A$12:$A$25,Gs!$E$12:$E$25),LOOKUP(C8,Gs!$A$12:$A$25,Gs!$F$12:$F$25),LOOKUP(C8,Gs!$A$12:$A$25,Gs!$G$12:$G$25),LOOKUP(C8,Gs!$A$12:$A$25,Gs!$H$12:$H$25))</f>
        <v>1.27</v>
      </c>
      <c r="F8" s="185"/>
      <c r="G8" s="185"/>
    </row>
    <row r="9" spans="1:7">
      <c r="A9" s="87"/>
      <c r="B9" s="185"/>
      <c r="C9" s="185">
        <v>30</v>
      </c>
      <c r="E9" s="306">
        <f>AVERAGE(LOOKUP(C9,Gs!$A$12:$A$25,Gs!$E$12:$E$25),LOOKUP(C9,Gs!$A$12:$A$25,Gs!$F$12:$F$25),LOOKUP(C9,Gs!$A$12:$A$25,Gs!$G$12:$G$25),LOOKUP(C9,Gs!$A$12:$A$25,Gs!$H$12:$H$25))</f>
        <v>1.2875000000000001</v>
      </c>
      <c r="F9" s="185"/>
      <c r="G9" s="185"/>
    </row>
    <row r="10" spans="1:7">
      <c r="A10" s="87"/>
      <c r="B10" s="185"/>
      <c r="C10" s="185">
        <v>28</v>
      </c>
      <c r="E10" s="306">
        <f>AVERAGE(LOOKUP(C10,Gs!$A$12:$A$25,Gs!$E$12:$E$25),LOOKUP(C10,Gs!$A$12:$A$25,Gs!$F$12:$F$25),LOOKUP(C10,Gs!$A$12:$A$25,Gs!$G$12:$G$25),LOOKUP(C10,Gs!$A$12:$A$25,Gs!$H$12:$H$25))</f>
        <v>1.3025000000000002</v>
      </c>
      <c r="F10" s="185"/>
      <c r="G10" s="185"/>
    </row>
    <row r="11" spans="1:7">
      <c r="A11" s="103"/>
      <c r="B11" s="253" t="s">
        <v>111</v>
      </c>
      <c r="C11" s="253">
        <v>27</v>
      </c>
      <c r="D11" s="103"/>
      <c r="E11" s="314">
        <f>AVERAGE(LOOKUP(C11,Gs!$A$12:$A$25,Gs!$E$12:$E$25),LOOKUP(C11,Gs!$A$12:$A$25,Gs!$F$12:$F$25),LOOKUP(C11,Gs!$A$12:$A$25,Gs!$G$12:$G$25),LOOKUP(C11,Gs!$A$12:$A$25,Gs!$H$12:$H$25))</f>
        <v>1.2749999999999999</v>
      </c>
      <c r="F11" s="253"/>
      <c r="G11" s="253"/>
    </row>
  </sheetData>
  <phoneticPr fontId="16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F19" sqref="F19"/>
    </sheetView>
  </sheetViews>
  <sheetFormatPr baseColWidth="10" defaultRowHeight="14" x14ac:dyDescent="0"/>
  <cols>
    <col min="1" max="1" width="19" customWidth="1"/>
    <col min="4" max="4" width="17.83203125" customWidth="1"/>
    <col min="5" max="5" width="24.5" customWidth="1"/>
    <col min="6" max="7" width="38" customWidth="1"/>
  </cols>
  <sheetData>
    <row r="1" spans="1:7" ht="23">
      <c r="A1" s="304" t="s">
        <v>106</v>
      </c>
      <c r="B1" s="304" t="s">
        <v>108</v>
      </c>
      <c r="C1" s="304" t="s">
        <v>184</v>
      </c>
      <c r="D1" s="309" t="s">
        <v>126</v>
      </c>
      <c r="E1" s="304" t="s">
        <v>115</v>
      </c>
      <c r="F1" s="304" t="s">
        <v>117</v>
      </c>
      <c r="G1" s="304" t="s">
        <v>118</v>
      </c>
    </row>
    <row r="2" spans="1:7">
      <c r="A2" s="87" t="s">
        <v>185</v>
      </c>
      <c r="B2" s="185" t="s">
        <v>110</v>
      </c>
      <c r="C2" s="185">
        <v>5</v>
      </c>
      <c r="D2" s="303"/>
      <c r="E2" s="306">
        <f>AVERAGE(LOOKUP(C2,'H (2)'!$A$12:$A$32,'H (2)'!$E$12:$E$32),LOOKUP(C2,'H (2)'!$A$12:$A$32,'H (2)'!$F$12:$F$32),LOOKUP(C2,'H (2)'!$A$12:$A$32,'H (2)'!$G$12:$G$32),LOOKUP(C2,'H (2)'!$A$12:$A$32,'H (2)'!$H$12:$H$32),LOOKUP(C2,'H (2)'!$A$12:$A$32,'H (2)'!$I$12:$I$32),LOOKUP(C2,'H (2)'!$A$12:$A$32,'H (2)'!$J$12:$J$32))</f>
        <v>1.5383333333333333</v>
      </c>
      <c r="F2" s="185">
        <f>SUM(E2:E5)+4*1.70688</f>
        <v>13.015853333333332</v>
      </c>
      <c r="G2" s="185">
        <v>13.2</v>
      </c>
    </row>
    <row r="3" spans="1:7">
      <c r="A3" s="87"/>
      <c r="B3" s="185"/>
      <c r="C3" s="185">
        <v>3</v>
      </c>
      <c r="E3" s="306">
        <f>AVERAGE(LOOKUP(C3,'H (2)'!$A$12:$A$32,'H (2)'!$E$12:$E$32),LOOKUP(C3,'H (2)'!$A$12:$A$32,'H (2)'!$F$12:$F$32),LOOKUP(C3,'H (2)'!$A$12:$A$32,'H (2)'!$G$12:$G$32),LOOKUP(C3,'H (2)'!$A$12:$A$32,'H (2)'!$H$12:$H$32),LOOKUP(C3,'H (2)'!$A$12:$A$32,'H (2)'!$I$12:$I$32),LOOKUP(C3,'H (2)'!$A$12:$A$32,'H (2)'!$J$12:$J$32))</f>
        <v>1.5583333333333333</v>
      </c>
      <c r="F3" s="185"/>
      <c r="G3" s="185"/>
    </row>
    <row r="4" spans="1:7">
      <c r="A4" s="87"/>
      <c r="B4" s="185"/>
      <c r="C4" s="185">
        <v>2</v>
      </c>
      <c r="E4" s="306">
        <f>AVERAGE(LOOKUP(C4,'H (2)'!$A$12:$A$32,'H (2)'!$E$12:$E$32),LOOKUP(C4,'H (2)'!$A$12:$A$32,'H (2)'!$F$12:$F$32),LOOKUP(C4,'H (2)'!$A$12:$A$32,'H (2)'!$G$12:$G$32),LOOKUP(C4,'H (2)'!$A$12:$A$32,'H (2)'!$H$12:$H$32),LOOKUP(C4,'H (2)'!$A$12:$A$32,'H (2)'!$I$12:$I$32),LOOKUP(C4,'H (2)'!$A$12:$A$32,'H (2)'!$J$12:$J$32))</f>
        <v>1.5583333333333336</v>
      </c>
      <c r="F4" s="185"/>
      <c r="G4" s="185"/>
    </row>
    <row r="5" spans="1:7">
      <c r="A5" s="87"/>
      <c r="B5" s="185" t="s">
        <v>111</v>
      </c>
      <c r="C5" s="185">
        <v>1</v>
      </c>
      <c r="E5" s="314">
        <f>AVERAGE(LOOKUP(C5,'H (2)'!$A$12:$A$32,'H (2)'!$E$12:$E$32),LOOKUP(C5,'H (2)'!$A$12:$A$32,'H (2)'!$F$12:$F$32),LOOKUP(C5,'H (2)'!$A$12:$A$32,'H (2)'!$G$12:$G$32),LOOKUP(C5,'H (2)'!$A$12:$A$32,'H (2)'!$H$12:$H$32),LOOKUP(C5,'H (2)'!$A$12:$A$32,'H (2)'!$I$12:$I$32),LOOKUP(C5,'H (2)'!$A$12:$A$32,'H (2)'!$J$12:$J$32))</f>
        <v>1.5333333333333332</v>
      </c>
      <c r="F5" s="185"/>
      <c r="G5" s="185"/>
    </row>
    <row r="6" spans="1:7">
      <c r="A6" s="14" t="s">
        <v>186</v>
      </c>
      <c r="B6" s="303" t="s">
        <v>110</v>
      </c>
      <c r="C6" s="303">
        <v>9</v>
      </c>
      <c r="D6" s="303"/>
      <c r="E6" s="306">
        <f>AVERAGE(LOOKUP(C6,'H (2)'!$A$12:$A$32,'H (2)'!$E$12:$E$32),LOOKUP(C6,'H (2)'!$A$12:$A$32,'H (2)'!$F$12:$F$32),LOOKUP(C6,'H (2)'!$A$12:$A$32,'H (2)'!$G$12:$G$32),LOOKUP(C6,'H (2)'!$A$12:$A$32,'H (2)'!$H$12:$H$32),LOOKUP(C6,'H (2)'!$A$12:$A$32,'H (2)'!$I$12:$I$32),LOOKUP(C6,'H (2)'!$A$12:$A$32,'H (2)'!$J$12:$J$32))</f>
        <v>1.5499999999999998</v>
      </c>
      <c r="F6" s="303">
        <f>SUM(E6:E9)+4*1.70688</f>
        <v>12.982520000000001</v>
      </c>
      <c r="G6" s="303">
        <v>13.02</v>
      </c>
    </row>
    <row r="7" spans="1:7">
      <c r="A7" s="87"/>
      <c r="B7" s="185"/>
      <c r="C7" s="185">
        <v>8</v>
      </c>
      <c r="E7" s="306">
        <f>AVERAGE(LOOKUP(C7,'H (2)'!$A$12:$A$32,'H (2)'!$E$12:$E$32),LOOKUP(C7,'H (2)'!$A$12:$A$32,'H (2)'!$F$12:$F$32),LOOKUP(C7,'H (2)'!$A$12:$A$32,'H (2)'!$G$12:$G$32),LOOKUP(C7,'H (2)'!$A$12:$A$32,'H (2)'!$H$12:$H$32),LOOKUP(C7,'H (2)'!$A$12:$A$32,'H (2)'!$I$12:$I$32),LOOKUP(C7,'H (2)'!$A$12:$A$32,'H (2)'!$J$12:$J$32))</f>
        <v>1.5366666666666668</v>
      </c>
      <c r="F7" s="185"/>
      <c r="G7" s="185"/>
    </row>
    <row r="8" spans="1:7">
      <c r="A8" s="87"/>
      <c r="B8" s="185"/>
      <c r="C8" s="185">
        <v>7</v>
      </c>
      <c r="E8" s="306">
        <f>AVERAGE(LOOKUP(C8,'H (2)'!$A$12:$A$32,'H (2)'!$E$12:$E$32),LOOKUP(C8,'H (2)'!$A$12:$A$32,'H (2)'!$F$12:$F$32),LOOKUP(C8,'H (2)'!$A$12:$A$32,'H (2)'!$G$12:$G$32),LOOKUP(C8,'H (2)'!$A$12:$A$32,'H (2)'!$H$12:$H$32),LOOKUP(C8,'H (2)'!$A$12:$A$32,'H (2)'!$I$12:$I$32),LOOKUP(C8,'H (2)'!$A$12:$A$32,'H (2)'!$J$12:$J$32))</f>
        <v>1.5533333333333335</v>
      </c>
      <c r="F8" s="185"/>
      <c r="G8" s="185"/>
    </row>
    <row r="9" spans="1:7">
      <c r="A9" s="87"/>
      <c r="B9" s="185" t="s">
        <v>111</v>
      </c>
      <c r="C9" s="185">
        <v>6</v>
      </c>
      <c r="E9" s="314">
        <f>AVERAGE(LOOKUP(C9,'H (2)'!$A$12:$A$32,'H (2)'!$E$12:$E$32),LOOKUP(C9,'H (2)'!$A$12:$A$32,'H (2)'!$F$12:$F$32),LOOKUP(C9,'H (2)'!$A$12:$A$32,'H (2)'!$G$12:$G$32),LOOKUP(C9,'H (2)'!$A$12:$A$32,'H (2)'!$H$12:$H$32),LOOKUP(C9,'H (2)'!$A$12:$A$32,'H (2)'!$I$12:$I$32),LOOKUP(C9,'H (2)'!$A$12:$A$32,'H (2)'!$J$12:$J$32))</f>
        <v>1.5149999999999999</v>
      </c>
      <c r="F9" s="185"/>
      <c r="G9" s="185"/>
    </row>
    <row r="10" spans="1:7">
      <c r="A10" s="14" t="s">
        <v>187</v>
      </c>
      <c r="B10" s="303" t="s">
        <v>110</v>
      </c>
      <c r="C10" s="303">
        <v>13</v>
      </c>
      <c r="D10" s="303"/>
      <c r="E10" s="306">
        <f>AVERAGE(LOOKUP(C10,'H (2)'!$A$12:$A$32,'H (2)'!$E$12:$E$32),LOOKUP(C10,'H (2)'!$A$12:$A$32,'H (2)'!$F$12:$F$32),LOOKUP(C10,'H (2)'!$A$12:$A$32,'H (2)'!$G$12:$G$32),LOOKUP(C10,'H (2)'!$A$12:$A$32,'H (2)'!$H$12:$H$32),LOOKUP(C10,'H (2)'!$A$12:$A$32,'H (2)'!$I$12:$I$32),LOOKUP(C10,'H (2)'!$A$12:$A$32,'H (2)'!$J$12:$J$32))</f>
        <v>1.5450000000000002</v>
      </c>
      <c r="F10" s="303">
        <f>SUM(E10:E13)+4*1.70688</f>
        <v>13.014186666666667</v>
      </c>
      <c r="G10" s="303">
        <v>13.07</v>
      </c>
    </row>
    <row r="11" spans="1:7">
      <c r="A11" s="87"/>
      <c r="B11" s="185"/>
      <c r="C11" s="185">
        <v>12</v>
      </c>
      <c r="E11" s="306">
        <f>AVERAGE(LOOKUP(C11,'H (2)'!$A$12:$A$32,'H (2)'!$E$12:$E$32),LOOKUP(C11,'H (2)'!$A$12:$A$32,'H (2)'!$F$12:$F$32),LOOKUP(C11,'H (2)'!$A$12:$A$32,'H (2)'!$G$12:$G$32),LOOKUP(C11,'H (2)'!$A$12:$A$32,'H (2)'!$H$12:$H$32),LOOKUP(C11,'H (2)'!$A$12:$A$32,'H (2)'!$I$12:$I$32),LOOKUP(C11,'H (2)'!$A$12:$A$32,'H (2)'!$J$12:$J$32))</f>
        <v>1.5583333333333333</v>
      </c>
      <c r="F11" s="185"/>
      <c r="G11" s="185"/>
    </row>
    <row r="12" spans="1:7">
      <c r="A12" s="87"/>
      <c r="B12" s="185"/>
      <c r="C12" s="185">
        <v>11</v>
      </c>
      <c r="E12" s="306">
        <f>AVERAGE(LOOKUP(C12,'H (2)'!$A$12:$A$32,'H (2)'!$E$12:$E$32),LOOKUP(C12,'H (2)'!$A$12:$A$32,'H (2)'!$F$12:$F$32),LOOKUP(C12,'H (2)'!$A$12:$A$32,'H (2)'!$G$12:$G$32),LOOKUP(C12,'H (2)'!$A$12:$A$32,'H (2)'!$H$12:$H$32),LOOKUP(C12,'H (2)'!$A$12:$A$32,'H (2)'!$I$12:$I$32),LOOKUP(C12,'H (2)'!$A$12:$A$32,'H (2)'!$J$12:$J$32))</f>
        <v>1.5416666666666667</v>
      </c>
      <c r="F12" s="185"/>
      <c r="G12" s="185"/>
    </row>
    <row r="13" spans="1:7">
      <c r="A13" s="87"/>
      <c r="B13" s="185" t="s">
        <v>111</v>
      </c>
      <c r="C13" s="185">
        <v>10</v>
      </c>
      <c r="E13" s="314">
        <f>AVERAGE(LOOKUP(C13,'H (2)'!$A$12:$A$32,'H (2)'!$E$12:$E$32),LOOKUP(C13,'H (2)'!$A$12:$A$32,'H (2)'!$F$12:$F$32),LOOKUP(C13,'H (2)'!$A$12:$A$32,'H (2)'!$G$12:$G$32),LOOKUP(C13,'H (2)'!$A$12:$A$32,'H (2)'!$H$12:$H$32),LOOKUP(C13,'H (2)'!$A$12:$A$32,'H (2)'!$I$12:$I$32),LOOKUP(C13,'H (2)'!$A$12:$A$32,'H (2)'!$J$12:$J$32))</f>
        <v>1.5416666666666667</v>
      </c>
      <c r="F13" s="185"/>
      <c r="G13" s="185"/>
    </row>
    <row r="14" spans="1:7">
      <c r="A14" s="14" t="s">
        <v>188</v>
      </c>
      <c r="B14" s="303" t="s">
        <v>110</v>
      </c>
      <c r="C14" s="303">
        <v>4</v>
      </c>
      <c r="D14" s="303"/>
      <c r="E14" s="306">
        <f>AVERAGE(LOOKUP(C14,'H (2)'!$A$12:$A$32,'H (2)'!$E$12:$E$32),LOOKUP(C14,'H (2)'!$A$12:$A$32,'H (2)'!$F$12:$F$32),LOOKUP(C14,'H (2)'!$A$12:$A$32,'H (2)'!$G$12:$G$32),LOOKUP(C14,'H (2)'!$A$12:$A$32,'H (2)'!$H$12:$H$32),LOOKUP(C14,'H (2)'!$A$12:$A$32,'H (2)'!$I$12:$I$32),LOOKUP(C14,'H (2)'!$A$12:$A$32,'H (2)'!$J$12:$J$32))</f>
        <v>1.5466666666666669</v>
      </c>
      <c r="F14" s="303">
        <f>SUM(E14:E17)+4*1.70688</f>
        <v>12.970853333333334</v>
      </c>
      <c r="G14" s="303">
        <v>13.22</v>
      </c>
    </row>
    <row r="15" spans="1:7">
      <c r="A15" s="87"/>
      <c r="B15" s="185"/>
      <c r="C15" s="185">
        <v>16</v>
      </c>
      <c r="E15" s="306">
        <f>AVERAGE(LOOKUP(C15,'H (2)'!$A$12:$A$32,'H (2)'!$E$12:$E$32),LOOKUP(C15,'H (2)'!$A$12:$A$32,'H (2)'!$F$12:$F$32),LOOKUP(C15,'H (2)'!$A$12:$A$32,'H (2)'!$G$12:$G$32),LOOKUP(C15,'H (2)'!$A$12:$A$32,'H (2)'!$H$12:$H$32),LOOKUP(C15,'H (2)'!$A$12:$A$32,'H (2)'!$I$12:$I$32),LOOKUP(C15,'H (2)'!$A$12:$A$32,'H (2)'!$J$12:$J$32))</f>
        <v>1.5450000000000002</v>
      </c>
      <c r="F15" s="185"/>
      <c r="G15" s="185"/>
    </row>
    <row r="16" spans="1:7">
      <c r="A16" s="87"/>
      <c r="B16" s="185"/>
      <c r="C16" s="185">
        <v>15</v>
      </c>
      <c r="E16" s="306">
        <f>AVERAGE(LOOKUP(C16,'H (2)'!$A$12:$A$32,'H (2)'!$E$12:$E$32),LOOKUP(C16,'H (2)'!$A$12:$A$32,'H (2)'!$F$12:$F$32),LOOKUP(C16,'H (2)'!$A$12:$A$32,'H (2)'!$G$12:$G$32),LOOKUP(C16,'H (2)'!$A$12:$A$32,'H (2)'!$H$12:$H$32),LOOKUP(C16,'H (2)'!$A$12:$A$32,'H (2)'!$I$12:$I$32),LOOKUP(C16,'H (2)'!$A$12:$A$32,'H (2)'!$J$12:$J$32))</f>
        <v>1.5116666666666667</v>
      </c>
      <c r="F16" s="185"/>
      <c r="G16" s="185"/>
    </row>
    <row r="17" spans="1:7">
      <c r="A17" s="323"/>
      <c r="B17" s="324" t="s">
        <v>111</v>
      </c>
      <c r="C17" s="324">
        <v>14</v>
      </c>
      <c r="D17" s="323"/>
      <c r="E17" s="314">
        <f>AVERAGE(LOOKUP(C17,'H (2)'!$A$12:$A$32,'H (2)'!$E$12:$E$32),LOOKUP(C17,'H (2)'!$A$12:$A$32,'H (2)'!$F$12:$F$32),LOOKUP(C17,'H (2)'!$A$12:$A$32,'H (2)'!$G$12:$G$32),LOOKUP(C17,'H (2)'!$A$12:$A$32,'H (2)'!$H$12:$H$32),LOOKUP(C17,'H (2)'!$A$12:$A$32,'H (2)'!$I$12:$I$32),LOOKUP(C17,'H (2)'!$A$12:$A$32,'H (2)'!$J$12:$J$32))</f>
        <v>1.54</v>
      </c>
      <c r="F17" s="324"/>
      <c r="G17" s="324"/>
    </row>
    <row r="18" spans="1:7">
      <c r="A18" s="302" t="s">
        <v>190</v>
      </c>
      <c r="B18" s="327" t="s">
        <v>110</v>
      </c>
      <c r="C18" s="326">
        <v>21</v>
      </c>
      <c r="D18" s="303"/>
      <c r="E18" s="306">
        <f>AVERAGE(LOOKUP(C18,'H (2)'!$A$12:$A$32,'H (2)'!$E$12:$E$32),LOOKUP(C18,'H (2)'!$A$12:$A$32,'H (2)'!$F$12:$F$32),LOOKUP(C18,'H (2)'!$A$12:$A$32,'H (2)'!$G$12:$G$32),LOOKUP(C18,'H (2)'!$A$12:$A$32,'H (2)'!$H$12:$H$32),LOOKUP(C18,'H (2)'!$A$12:$A$32,'H (2)'!$I$12:$I$32),LOOKUP(C18,'H (2)'!$A$12:$A$32,'H (2)'!$J$12:$J$32))</f>
        <v>1.5366666666666664</v>
      </c>
      <c r="F18" s="303">
        <f>SUM(E18:E21)+4*1.70688</f>
        <v>12.950853333333333</v>
      </c>
      <c r="G18" s="303">
        <v>13.05</v>
      </c>
    </row>
    <row r="19" spans="1:7">
      <c r="A19" s="125"/>
      <c r="B19" s="125"/>
      <c r="C19" s="185">
        <v>19</v>
      </c>
      <c r="D19" s="185"/>
      <c r="E19" s="306">
        <f>AVERAGE(LOOKUP(C19,'H (2)'!$A$12:$A$32,'H (2)'!$E$12:$E$32),LOOKUP(C19,'H (2)'!$A$12:$A$32,'H (2)'!$F$12:$F$32),LOOKUP(C19,'H (2)'!$A$12:$A$32,'H (2)'!$G$12:$G$32),LOOKUP(C19,'H (2)'!$A$12:$A$32,'H (2)'!$H$12:$H$32),LOOKUP(C19,'H (2)'!$A$12:$A$32,'H (2)'!$I$12:$I$32),LOOKUP(C19,'H (2)'!$A$12:$A$32,'H (2)'!$J$12:$J$32))</f>
        <v>1.5166666666666668</v>
      </c>
      <c r="F19" s="185"/>
      <c r="G19" s="185"/>
    </row>
    <row r="20" spans="1:7">
      <c r="A20" s="125"/>
      <c r="B20" s="125"/>
      <c r="C20" s="185">
        <v>18</v>
      </c>
      <c r="D20" s="185"/>
      <c r="E20" s="306">
        <f>AVERAGE(LOOKUP(C20,'H (2)'!$A$12:$A$32,'H (2)'!$E$12:$E$32),LOOKUP(C20,'H (2)'!$A$12:$A$32,'H (2)'!$F$12:$F$32),LOOKUP(C20,'H (2)'!$A$12:$A$32,'H (2)'!$G$12:$G$32),LOOKUP(C20,'H (2)'!$A$12:$A$32,'H (2)'!$H$12:$H$32),LOOKUP(C20,'H (2)'!$A$12:$A$32,'H (2)'!$I$12:$I$32),LOOKUP(C20,'H (2)'!$A$12:$A$32,'H (2)'!$J$12:$J$32))</f>
        <v>1.5483333333333336</v>
      </c>
      <c r="F20" s="185"/>
      <c r="G20" s="185"/>
    </row>
    <row r="21" spans="1:7">
      <c r="A21" s="140"/>
      <c r="B21" s="140" t="s">
        <v>111</v>
      </c>
      <c r="C21" s="253">
        <v>17</v>
      </c>
      <c r="D21" s="253"/>
      <c r="E21" s="314">
        <f>AVERAGE(LOOKUP(C21,'H (2)'!$A$12:$A$32,'H (2)'!$E$12:$E$32),LOOKUP(C21,'H (2)'!$A$12:$A$32,'H (2)'!$F$12:$F$32),LOOKUP(C21,'H (2)'!$A$12:$A$32,'H (2)'!$G$12:$G$32),LOOKUP(C21,'H (2)'!$A$12:$A$32,'H (2)'!$H$12:$H$32),LOOKUP(C21,'H (2)'!$A$12:$A$32,'H (2)'!$I$12:$I$32),LOOKUP(C21,'H (2)'!$A$12:$A$32,'H (2)'!$J$12:$J$32))</f>
        <v>1.5216666666666665</v>
      </c>
      <c r="F21" s="253"/>
      <c r="G21" s="253"/>
    </row>
  </sheetData>
  <phoneticPr fontId="16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F15" sqref="F15"/>
    </sheetView>
  </sheetViews>
  <sheetFormatPr baseColWidth="10" defaultRowHeight="14" x14ac:dyDescent="0"/>
  <cols>
    <col min="1" max="1" width="17.83203125" customWidth="1"/>
    <col min="4" max="4" width="16.1640625" customWidth="1"/>
    <col min="5" max="5" width="24.5" customWidth="1"/>
    <col min="6" max="7" width="37.33203125" customWidth="1"/>
  </cols>
  <sheetData>
    <row r="1" spans="1:7" ht="23">
      <c r="A1" s="304" t="s">
        <v>106</v>
      </c>
      <c r="B1" s="304" t="s">
        <v>108</v>
      </c>
      <c r="C1" s="304" t="s">
        <v>191</v>
      </c>
      <c r="D1" s="309" t="s">
        <v>126</v>
      </c>
      <c r="E1" s="304" t="s">
        <v>115</v>
      </c>
      <c r="F1" s="304" t="s">
        <v>117</v>
      </c>
      <c r="G1" s="304" t="s">
        <v>118</v>
      </c>
    </row>
    <row r="2" spans="1:7">
      <c r="A2" s="87" t="s">
        <v>192</v>
      </c>
      <c r="B2" s="185" t="s">
        <v>110</v>
      </c>
      <c r="C2" s="185">
        <v>3</v>
      </c>
      <c r="D2" s="303"/>
      <c r="E2" s="306">
        <f>AVERAGE(LOOKUP(C2,I!$A$12:$A$27,I!$E$12:$E$27),LOOKUP(C2,I!$A$12:$A$27,I!$F$12:$F$27),LOOKUP(C2,I!$A$12:$A$27,I!$G$12:$G$27),LOOKUP(C2,I!$A$12:$A$27,I!$H$12:$H$27),LOOKUP(C2,I!$A$12:$A$27,I!$I$12:$I$27),LOOKUP(C2,I!$A$12:$A$27,I!$J$12:$J$27))</f>
        <v>1.9666666666666668</v>
      </c>
      <c r="F2" s="185">
        <f>SUM(E2:E4)+3*2.34442</f>
        <v>12.946593333333333</v>
      </c>
      <c r="G2" s="185">
        <v>13.07</v>
      </c>
    </row>
    <row r="3" spans="1:7">
      <c r="A3" s="87"/>
      <c r="B3" s="185"/>
      <c r="C3" s="185">
        <v>2</v>
      </c>
      <c r="E3" s="306">
        <f>AVERAGE(LOOKUP(C3,I!$A$12:$A$27,I!$E$12:$E$27),LOOKUP(C3,I!$A$12:$A$27,I!$F$12:$F$27),LOOKUP(C3,I!$A$12:$A$27,I!$G$12:$G$27),LOOKUP(C3,I!$A$12:$A$27,I!$H$12:$H$27),LOOKUP(C3,I!$A$12:$A$27,I!$I$12:$I$27),LOOKUP(C3,I!$A$12:$A$27,I!$J$12:$J$27))</f>
        <v>2</v>
      </c>
      <c r="F3" s="185"/>
      <c r="G3" s="185"/>
    </row>
    <row r="4" spans="1:7">
      <c r="A4" s="87"/>
      <c r="B4" s="185" t="s">
        <v>111</v>
      </c>
      <c r="C4" s="185">
        <v>1</v>
      </c>
      <c r="E4" s="314">
        <f>AVERAGE(LOOKUP(C4,I!$A$12:$A$27,I!$E$12:$E$27),LOOKUP(C4,I!$A$12:$A$27,I!$F$12:$F$27),LOOKUP(C4,I!$A$12:$A$27,I!$G$12:$G$27),LOOKUP(C4,I!$A$12:$A$27,I!$H$12:$H$27),LOOKUP(C4,I!$A$12:$A$27,I!$I$12:$I$27),LOOKUP(C4,I!$A$12:$A$27,I!$J$12:$J$27))</f>
        <v>1.9466666666666665</v>
      </c>
      <c r="F4" s="185"/>
      <c r="G4" s="185"/>
    </row>
    <row r="5" spans="1:7">
      <c r="A5" s="14" t="s">
        <v>193</v>
      </c>
      <c r="B5" s="303" t="s">
        <v>110</v>
      </c>
      <c r="C5" s="303">
        <v>6</v>
      </c>
      <c r="D5" s="303"/>
      <c r="E5" s="306">
        <f>AVERAGE(LOOKUP(C5,I!$A$12:$A$27,I!$E$12:$E$27),LOOKUP(C5,I!$A$12:$A$27,I!$F$12:$F$27),LOOKUP(C5,I!$A$12:$A$27,I!$G$12:$G$27),LOOKUP(C5,I!$A$12:$A$27,I!$H$12:$H$27),LOOKUP(C5,I!$A$12:$A$27,I!$I$12:$I$27),LOOKUP(C5,I!$A$12:$A$27,I!$J$12:$J$27))</f>
        <v>1.9866666666666666</v>
      </c>
      <c r="F5" s="303">
        <f>SUM(E5:E7)+3*2.34442</f>
        <v>12.929926666666667</v>
      </c>
      <c r="G5" s="303">
        <v>13.03</v>
      </c>
    </row>
    <row r="6" spans="1:7">
      <c r="A6" s="87"/>
      <c r="B6" s="185"/>
      <c r="C6" s="185">
        <v>5</v>
      </c>
      <c r="E6" s="306">
        <f>AVERAGE(LOOKUP(C6,I!$A$12:$A$27,I!$E$12:$E$27),LOOKUP(C6,I!$A$12:$A$27,I!$F$12:$F$27),LOOKUP(C6,I!$A$12:$A$27,I!$G$12:$G$27),LOOKUP(C6,I!$A$12:$A$27,I!$H$12:$H$27),LOOKUP(C6,I!$A$12:$A$27,I!$I$12:$I$27),LOOKUP(C6,I!$A$12:$A$27,I!$J$12:$J$27))</f>
        <v>1.96</v>
      </c>
      <c r="F6" s="185"/>
      <c r="G6" s="185"/>
    </row>
    <row r="7" spans="1:7">
      <c r="A7" s="87"/>
      <c r="B7" s="185" t="s">
        <v>111</v>
      </c>
      <c r="C7" s="185">
        <v>4</v>
      </c>
      <c r="E7" s="314">
        <f>AVERAGE(LOOKUP(C7,I!$A$12:$A$27,I!$E$12:$E$27),LOOKUP(C7,I!$A$12:$A$27,I!$F$12:$F$27),LOOKUP(C7,I!$A$12:$A$27,I!$G$12:$G$27),LOOKUP(C7,I!$A$12:$A$27,I!$H$12:$H$27),LOOKUP(C7,I!$A$12:$A$27,I!$I$12:$I$27),LOOKUP(C7,I!$A$12:$A$27,I!$J$12:$J$27))</f>
        <v>1.9500000000000002</v>
      </c>
      <c r="F7" s="185"/>
      <c r="G7" s="185"/>
    </row>
    <row r="8" spans="1:7">
      <c r="A8" s="14" t="s">
        <v>194</v>
      </c>
      <c r="B8" s="303" t="s">
        <v>110</v>
      </c>
      <c r="C8" s="303">
        <v>9</v>
      </c>
      <c r="D8" s="303"/>
      <c r="E8" s="306">
        <f>AVERAGE(LOOKUP(C8,I!$A$12:$A$27,I!$E$12:$E$27),LOOKUP(C8,I!$A$12:$A$27,I!$F$12:$F$27),LOOKUP(C8,I!$A$12:$A$27,I!$G$12:$G$27),LOOKUP(C8,I!$A$12:$A$27,I!$H$12:$H$27),LOOKUP(C8,I!$A$12:$A$27,I!$I$12:$I$27),LOOKUP(C8,I!$A$12:$A$27,I!$J$12:$J$27))</f>
        <v>1.9966666666666668</v>
      </c>
      <c r="F8" s="303">
        <f>SUM(E8:E10)+3*2.34442</f>
        <v>13.056593333333334</v>
      </c>
      <c r="G8" s="303">
        <v>13.14</v>
      </c>
    </row>
    <row r="9" spans="1:7">
      <c r="A9" s="87"/>
      <c r="B9" s="185"/>
      <c r="C9" s="185">
        <v>8</v>
      </c>
      <c r="E9" s="306">
        <f>AVERAGE(LOOKUP(C9,I!$A$12:$A$27,I!$E$12:$E$27),LOOKUP(C9,I!$A$12:$A$27,I!$F$12:$F$27),LOOKUP(C9,I!$A$12:$A$27,I!$G$12:$G$27),LOOKUP(C9,I!$A$12:$A$27,I!$H$12:$H$27),LOOKUP(C9,I!$A$12:$A$27,I!$I$12:$I$27),LOOKUP(C9,I!$A$12:$A$27,I!$J$12:$J$27))</f>
        <v>1.99</v>
      </c>
      <c r="F9" s="185"/>
      <c r="G9" s="185"/>
    </row>
    <row r="10" spans="1:7">
      <c r="A10" s="87"/>
      <c r="B10" s="185" t="s">
        <v>111</v>
      </c>
      <c r="C10" s="185">
        <v>7</v>
      </c>
      <c r="E10" s="314">
        <f>AVERAGE(LOOKUP(C10,I!$A$12:$A$27,I!$E$12:$E$27),LOOKUP(C10,I!$A$12:$A$27,I!$F$12:$F$27),LOOKUP(C10,I!$A$12:$A$27,I!$G$12:$G$27),LOOKUP(C10,I!$A$12:$A$27,I!$H$12:$H$27),LOOKUP(C10,I!$A$12:$A$27,I!$I$12:$I$27),LOOKUP(C10,I!$A$12:$A$27,I!$J$12:$J$27))</f>
        <v>2.0366666666666666</v>
      </c>
      <c r="F10" s="185"/>
      <c r="G10" s="185"/>
    </row>
    <row r="11" spans="1:7">
      <c r="A11" s="14" t="s">
        <v>195</v>
      </c>
      <c r="B11" s="303" t="s">
        <v>110</v>
      </c>
      <c r="C11" s="303">
        <v>12</v>
      </c>
      <c r="D11" s="303"/>
      <c r="E11" s="306">
        <f>AVERAGE(LOOKUP(C11,I!$A$12:$A$27,I!$E$12:$E$27),LOOKUP(C11,I!$A$12:$A$27,I!$F$12:$F$27),LOOKUP(C11,I!$A$12:$A$27,I!$G$12:$G$27),LOOKUP(C11,I!$A$12:$A$27,I!$H$12:$H$27),LOOKUP(C11,I!$A$12:$A$27,I!$I$12:$I$27),LOOKUP(C11,I!$A$12:$A$27,I!$J$12:$J$27))</f>
        <v>1.9883333333333333</v>
      </c>
      <c r="F11" s="303">
        <f>SUM(E11:E13)+3*2.34442</f>
        <v>13.013260000000001</v>
      </c>
      <c r="G11" s="303">
        <v>13.2</v>
      </c>
    </row>
    <row r="12" spans="1:7">
      <c r="A12" s="87"/>
      <c r="B12" s="185"/>
      <c r="C12" s="185">
        <v>11</v>
      </c>
      <c r="E12" s="306">
        <f>AVERAGE(LOOKUP(C12,I!$A$12:$A$27,I!$E$12:$E$27),LOOKUP(C12,I!$A$12:$A$27,I!$F$12:$F$27),LOOKUP(C12,I!$A$12:$A$27,I!$G$12:$G$27),LOOKUP(C12,I!$A$12:$A$27,I!$H$12:$H$27),LOOKUP(C12,I!$A$12:$A$27,I!$I$12:$I$27),LOOKUP(C12,I!$A$12:$A$27,I!$J$12:$J$27))</f>
        <v>1.9733333333333334</v>
      </c>
      <c r="F12" s="185"/>
      <c r="G12" s="185"/>
    </row>
    <row r="13" spans="1:7">
      <c r="A13" s="323"/>
      <c r="B13" s="324" t="s">
        <v>111</v>
      </c>
      <c r="C13" s="324">
        <v>10</v>
      </c>
      <c r="D13" s="323"/>
      <c r="E13" s="314">
        <f>AVERAGE(LOOKUP(C13,I!$A$12:$A$27,I!$E$12:$E$27),LOOKUP(C13,I!$A$12:$A$27,I!$F$12:$F$27),LOOKUP(C13,I!$A$12:$A$27,I!$G$12:$G$27),LOOKUP(C13,I!$A$12:$A$27,I!$H$12:$H$27),LOOKUP(C13,I!$A$12:$A$27,I!$I$12:$I$27),LOOKUP(C13,I!$A$12:$A$27,I!$J$12:$J$27))</f>
        <v>2.0183333333333331</v>
      </c>
      <c r="F13" s="324"/>
      <c r="G13" s="324"/>
    </row>
    <row r="14" spans="1:7">
      <c r="A14" s="302" t="s">
        <v>196</v>
      </c>
      <c r="B14" s="327" t="s">
        <v>110</v>
      </c>
      <c r="C14" s="326">
        <v>15</v>
      </c>
      <c r="D14" s="303"/>
      <c r="E14" s="306">
        <f>AVERAGE(LOOKUP(C14,I!$A$12:$A$27,I!$E$12:$E$27),LOOKUP(C14,I!$A$12:$A$27,I!$F$12:$F$27),LOOKUP(C14,I!$A$12:$A$27,I!$G$12:$G$27),LOOKUP(C14,I!$A$12:$A$27,I!$H$12:$H$27),LOOKUP(C14,I!$A$12:$A$27,I!$I$12:$I$27),LOOKUP(C14,I!$A$12:$A$27,I!$J$12:$J$27))</f>
        <v>1.968333333333333</v>
      </c>
      <c r="F14" s="303">
        <f>SUM(E14:E16)+3*2.34442</f>
        <v>13.003260000000001</v>
      </c>
      <c r="G14" s="303">
        <v>13.07</v>
      </c>
    </row>
    <row r="15" spans="1:7">
      <c r="A15" s="125"/>
      <c r="B15" s="125"/>
      <c r="C15" s="185">
        <v>14</v>
      </c>
      <c r="D15" s="185"/>
      <c r="E15" s="306">
        <f>AVERAGE(LOOKUP(C15,I!$A$12:$A$27,I!$E$12:$E$27),LOOKUP(C15,I!$A$12:$A$27,I!$F$12:$F$27),LOOKUP(C15,I!$A$12:$A$27,I!$G$12:$G$27),LOOKUP(C15,I!$A$12:$A$27,I!$H$12:$H$27),LOOKUP(C15,I!$A$12:$A$27,I!$I$12:$I$27),LOOKUP(C15,I!$A$12:$A$27,I!$J$12:$J$27))</f>
        <v>2.0083333333333333</v>
      </c>
      <c r="F15" s="185"/>
      <c r="G15" s="185"/>
    </row>
    <row r="16" spans="1:7">
      <c r="A16" s="140"/>
      <c r="B16" s="140" t="s">
        <v>111</v>
      </c>
      <c r="C16" s="253">
        <v>13</v>
      </c>
      <c r="D16" s="253"/>
      <c r="E16" s="314">
        <f>AVERAGE(LOOKUP(C16,I!$A$12:$A$27,I!$E$12:$E$27),LOOKUP(C16,I!$A$12:$A$27,I!$F$12:$F$27),LOOKUP(C16,I!$A$12:$A$27,I!$G$12:$G$27),LOOKUP(C16,I!$A$12:$A$27,I!$H$12:$H$27),LOOKUP(C16,I!$A$12:$A$27,I!$I$12:$I$27),LOOKUP(C16,I!$A$12:$A$27,I!$J$12:$J$27))</f>
        <v>1.9933333333333334</v>
      </c>
      <c r="F16" s="253"/>
      <c r="G16" s="253"/>
    </row>
  </sheetData>
  <phoneticPr fontId="16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F5" sqref="F5"/>
    </sheetView>
  </sheetViews>
  <sheetFormatPr baseColWidth="10" defaultRowHeight="14" x14ac:dyDescent="0"/>
  <cols>
    <col min="1" max="1" width="19" customWidth="1"/>
    <col min="4" max="4" width="15.33203125" customWidth="1"/>
    <col min="5" max="5" width="24.5" customWidth="1"/>
    <col min="6" max="7" width="37.83203125" customWidth="1"/>
  </cols>
  <sheetData>
    <row r="1" spans="1:7" ht="23">
      <c r="A1" s="304" t="s">
        <v>106</v>
      </c>
      <c r="B1" s="304" t="s">
        <v>108</v>
      </c>
      <c r="C1" s="304" t="s">
        <v>202</v>
      </c>
      <c r="D1" s="309" t="s">
        <v>126</v>
      </c>
      <c r="E1" s="304" t="s">
        <v>115</v>
      </c>
      <c r="F1" s="304" t="s">
        <v>117</v>
      </c>
      <c r="G1" s="304" t="s">
        <v>118</v>
      </c>
    </row>
    <row r="2" spans="1:7">
      <c r="A2" s="87" t="s">
        <v>197</v>
      </c>
      <c r="B2" s="185" t="s">
        <v>110</v>
      </c>
      <c r="C2" s="185">
        <v>2</v>
      </c>
      <c r="D2" s="303"/>
      <c r="E2" s="306">
        <f>AVERAGE(LOOKUP(C2,J!$A$12:$A$22,J!$E$12:$E$22),LOOKUP(C2,J!$A$12:$A$22,J!$F$12:$F$22),LOOKUP(C2,J!$A$12:$A$22,J!$G$12:$G$22),LOOKUP(C2,J!$A$12:$A$22,J!$H$12:$H$22),LOOKUP(C2,J!$A$12:$A$22,J!$I$12:$I$22),LOOKUP(C2,J!$A$12:$A$22,J!$J$12:$J$22))</f>
        <v>3.438333333333333</v>
      </c>
      <c r="F2" s="185">
        <f>SUM(E2:E3)+2*3.0734</f>
        <v>13.015133333333331</v>
      </c>
      <c r="G2" s="185">
        <v>13.07</v>
      </c>
    </row>
    <row r="3" spans="1:7">
      <c r="A3" s="87"/>
      <c r="B3" s="185" t="s">
        <v>111</v>
      </c>
      <c r="C3" s="185">
        <v>1</v>
      </c>
      <c r="E3" s="314">
        <f>AVERAGE(LOOKUP(C3,J!$A$12:$A$22,J!$E$12:$E$22),LOOKUP(C3,J!$A$12:$A$22,J!$F$12:$F$22),LOOKUP(C3,J!$A$12:$A$22,J!$G$12:$G$22),LOOKUP(C3,J!$A$12:$A$22,J!$H$12:$H$22),LOOKUP(C3,J!$A$12:$A$22,J!$I$12:$I$22),LOOKUP(C3,J!$A$12:$A$22,J!$J$12:$J$22))</f>
        <v>3.4299999999999997</v>
      </c>
      <c r="F3" s="185"/>
      <c r="G3" s="185"/>
    </row>
    <row r="4" spans="1:7">
      <c r="A4" s="14" t="s">
        <v>198</v>
      </c>
      <c r="B4" s="303" t="s">
        <v>110</v>
      </c>
      <c r="C4" s="303">
        <v>4</v>
      </c>
      <c r="D4" s="303"/>
      <c r="E4" s="306">
        <f>AVERAGE(LOOKUP(C4,J!$A$12:$A$22,J!$E$12:$E$22),LOOKUP(C4,J!$A$12:$A$22,J!$F$12:$F$22),LOOKUP(C4,J!$A$12:$A$22,J!$G$12:$G$22),LOOKUP(C4,J!$A$12:$A$22,J!$H$12:$H$22),LOOKUP(C4,J!$A$12:$A$22,J!$I$12:$I$22),LOOKUP(C4,J!$A$12:$A$22,J!$J$12:$J$22))</f>
        <v>3.375</v>
      </c>
      <c r="F4" s="303">
        <f>SUM(E4:E5)+2*3.0734</f>
        <v>12.956800000000001</v>
      </c>
      <c r="G4" s="303">
        <v>13.05</v>
      </c>
    </row>
    <row r="5" spans="1:7">
      <c r="A5" s="87"/>
      <c r="B5" s="185" t="s">
        <v>111</v>
      </c>
      <c r="C5" s="185">
        <v>3</v>
      </c>
      <c r="E5" s="314">
        <f>AVERAGE(LOOKUP(C5,J!$A$12:$A$22,J!$E$12:$E$22),LOOKUP(C5,J!$A$12:$A$22,J!$F$12:$F$22),LOOKUP(C5,J!$A$12:$A$22,J!$G$12:$G$22),LOOKUP(C5,J!$A$12:$A$22,J!$H$12:$H$22),LOOKUP(C5,J!$A$12:$A$22,J!$I$12:$I$22),LOOKUP(C5,J!$A$12:$A$22,J!$J$12:$J$22))</f>
        <v>3.4350000000000005</v>
      </c>
      <c r="F5" s="185"/>
      <c r="G5" s="185"/>
    </row>
    <row r="6" spans="1:7">
      <c r="A6" s="14" t="s">
        <v>199</v>
      </c>
      <c r="B6" s="303" t="s">
        <v>110</v>
      </c>
      <c r="C6" s="303">
        <v>6</v>
      </c>
      <c r="D6" s="303"/>
      <c r="E6" s="306">
        <f>AVERAGE(LOOKUP(C6,J!$A$12:$A$22,J!$E$12:$E$22),LOOKUP(C6,J!$A$12:$A$22,J!$F$12:$F$22),LOOKUP(C6,J!$A$12:$A$22,J!$G$12:$G$22),LOOKUP(C6,J!$A$12:$A$22,J!$H$12:$H$22),LOOKUP(C6,J!$A$12:$A$22,J!$I$12:$I$22),LOOKUP(C6,J!$A$12:$A$22,J!$J$12:$J$22))</f>
        <v>3.3700000000000006</v>
      </c>
      <c r="F6" s="303">
        <f>SUM(E6:E7)+2*3.0734</f>
        <v>12.950133333333333</v>
      </c>
      <c r="G6" s="303">
        <v>13.07</v>
      </c>
    </row>
    <row r="7" spans="1:7">
      <c r="A7" s="87"/>
      <c r="B7" s="185" t="s">
        <v>111</v>
      </c>
      <c r="C7" s="185">
        <v>5</v>
      </c>
      <c r="E7" s="314">
        <f>AVERAGE(LOOKUP(C7,J!$A$12:$A$22,J!$E$12:$E$22),LOOKUP(C7,J!$A$12:$A$22,J!$F$12:$F$22),LOOKUP(C7,J!$A$12:$A$22,J!$G$12:$G$22),LOOKUP(C7,J!$A$12:$A$22,J!$H$12:$H$22),LOOKUP(C7,J!$A$12:$A$22,J!$I$12:$I$22),LOOKUP(C7,J!$A$12:$A$22,J!$J$12:$J$22))</f>
        <v>3.4333333333333336</v>
      </c>
      <c r="F7" s="185"/>
      <c r="G7" s="185"/>
    </row>
    <row r="8" spans="1:7">
      <c r="A8" s="14" t="s">
        <v>200</v>
      </c>
      <c r="B8" s="303" t="s">
        <v>110</v>
      </c>
      <c r="C8" s="303">
        <v>8</v>
      </c>
      <c r="D8" s="303"/>
      <c r="E8" s="306">
        <f>AVERAGE(LOOKUP(C8,J!$A$12:$A$22,J!$E$12:$E$22),LOOKUP(C8,J!$A$12:$A$22,J!$F$12:$F$22),LOOKUP(C8,J!$A$12:$A$22,J!$G$12:$G$22),LOOKUP(C8,J!$A$12:$A$22,J!$H$12:$H$22),LOOKUP(C8,J!$A$12:$A$22,J!$I$12:$I$22),LOOKUP(C8,J!$A$12:$A$22,J!$J$12:$J$22))</f>
        <v>3.4350000000000001</v>
      </c>
      <c r="F8" s="303">
        <f>SUM(E8:E9)+2*3.0734</f>
        <v>13.015133333333335</v>
      </c>
      <c r="G8" s="303">
        <v>13.07</v>
      </c>
    </row>
    <row r="9" spans="1:7">
      <c r="A9" s="323"/>
      <c r="B9" s="324" t="s">
        <v>111</v>
      </c>
      <c r="C9" s="324">
        <v>7</v>
      </c>
      <c r="D9" s="323"/>
      <c r="E9" s="314">
        <f>AVERAGE(LOOKUP(C9,J!$A$12:$A$22,J!$E$12:$E$22),LOOKUP(C9,J!$A$12:$A$22,J!$F$12:$F$22),LOOKUP(C9,J!$A$12:$A$22,J!$G$12:$G$22),LOOKUP(C9,J!$A$12:$A$22,J!$H$12:$H$22),LOOKUP(C9,J!$A$12:$A$22,J!$I$12:$I$22),LOOKUP(C9,J!$A$12:$A$22,J!$J$12:$J$22))</f>
        <v>3.4333333333333336</v>
      </c>
      <c r="F9" s="324"/>
      <c r="G9" s="324"/>
    </row>
    <row r="10" spans="1:7">
      <c r="A10" s="302" t="s">
        <v>201</v>
      </c>
      <c r="B10" s="327" t="s">
        <v>110</v>
      </c>
      <c r="C10" s="326">
        <v>10</v>
      </c>
      <c r="D10" s="303"/>
      <c r="E10" s="306">
        <f>AVERAGE(LOOKUP(C10,J!$A$12:$A$22,J!$E$12:$E$22),LOOKUP(C10,J!$A$12:$A$22,J!$F$12:$F$22),LOOKUP(C10,J!$A$12:$A$22,J!$G$12:$G$22),LOOKUP(C10,J!$A$12:$A$22,J!$H$12:$H$22),LOOKUP(C10,J!$A$12:$A$22,J!$I$12:$I$22),LOOKUP(C10,J!$A$12:$A$22,J!$J$12:$J$22))</f>
        <v>3.44</v>
      </c>
      <c r="F10" s="303">
        <f>SUM(E10:E11)+2*3.0734</f>
        <v>13.021799999999999</v>
      </c>
      <c r="G10" s="303">
        <v>13.06</v>
      </c>
    </row>
    <row r="11" spans="1:7">
      <c r="A11" s="140"/>
      <c r="B11" s="140" t="s">
        <v>111</v>
      </c>
      <c r="C11" s="253">
        <v>9</v>
      </c>
      <c r="D11" s="253"/>
      <c r="E11" s="314">
        <f>AVERAGE(LOOKUP(C11,J!$A$12:$A$22,J!$E$12:$E$22),LOOKUP(C11,J!$A$12:$A$22,J!$F$12:$F$22),LOOKUP(C11,J!$A$12:$A$22,J!$G$12:$G$22),LOOKUP(C11,J!$A$12:$A$22,J!$H$12:$H$22),LOOKUP(C11,J!$A$12:$A$22,J!$I$12:$I$22),LOOKUP(C11,J!$A$12:$A$22,J!$J$12:$J$22))</f>
        <v>3.4350000000000001</v>
      </c>
      <c r="F11" s="253"/>
      <c r="G11" s="253"/>
    </row>
  </sheetData>
  <phoneticPr fontId="16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topLeftCell="E1" workbookViewId="0">
      <selection activeCell="D5" sqref="D5"/>
    </sheetView>
  </sheetViews>
  <sheetFormatPr baseColWidth="10" defaultRowHeight="14" x14ac:dyDescent="0"/>
  <cols>
    <col min="1" max="1" width="17.33203125" customWidth="1"/>
    <col min="4" max="4" width="16.1640625" customWidth="1"/>
    <col min="5" max="5" width="24.83203125" customWidth="1"/>
    <col min="6" max="7" width="37.33203125" customWidth="1"/>
  </cols>
  <sheetData>
    <row r="1" spans="1:7" ht="23">
      <c r="A1" s="304" t="s">
        <v>106</v>
      </c>
      <c r="B1" s="304" t="s">
        <v>108</v>
      </c>
      <c r="C1" s="304" t="s">
        <v>207</v>
      </c>
      <c r="D1" s="309" t="s">
        <v>126</v>
      </c>
      <c r="E1" s="304" t="s">
        <v>115</v>
      </c>
      <c r="F1" s="304" t="s">
        <v>117</v>
      </c>
      <c r="G1" s="304" t="s">
        <v>118</v>
      </c>
    </row>
    <row r="2" spans="1:7">
      <c r="A2" s="87" t="s">
        <v>203</v>
      </c>
      <c r="B2" s="185"/>
      <c r="C2" s="185">
        <v>1</v>
      </c>
      <c r="D2" s="303"/>
      <c r="E2" s="330">
        <f>AVERAGE(LOOKUP(C2,K!$A$12:$A$16,K!$E$12:$E$16),LOOKUP(C2,K!$A$12:$A$16,K!$F$12:$F$16),LOOKUP(C2,K!$A$12:$A$16,K!$G$12:$G$16),LOOKUP(C2,K!$A$12:$A$16,K!$H$12:$H$16),LOOKUP(C2,K!$A$12:$A$16,K!$I$12:$I$16),LOOKUP(C2,K!$A$12:$A$16,K!$J$12:$J$16))</f>
        <v>6.6483333333333334</v>
      </c>
      <c r="F2" s="306">
        <f>SUM(E2:E2)+6.35</f>
        <v>12.998333333333333</v>
      </c>
      <c r="G2" s="185">
        <v>12.97</v>
      </c>
    </row>
    <row r="3" spans="1:7">
      <c r="A3" s="14" t="s">
        <v>204</v>
      </c>
      <c r="B3" s="303"/>
      <c r="C3" s="303">
        <v>2</v>
      </c>
      <c r="D3" s="303"/>
      <c r="E3" s="330">
        <f>AVERAGE(LOOKUP(C3,K!$A$12:$A$16,K!$E$12:$E$16),LOOKUP(C3,K!$A$12:$A$16,K!$F$12:$F$16),LOOKUP(C3,K!$A$12:$A$16,K!$G$12:$G$16),LOOKUP(C3,K!$A$12:$A$16,K!$H$12:$H$16),LOOKUP(C3,K!$A$12:$A$16,K!$I$12:$I$16),LOOKUP(C3,K!$A$12:$A$16,K!$J$12:$J$16))</f>
        <v>6.621666666666667</v>
      </c>
      <c r="F3" s="307">
        <f>SUM(E3:E3)+6.35</f>
        <v>12.971666666666668</v>
      </c>
      <c r="G3" s="303">
        <v>12.96</v>
      </c>
    </row>
    <row r="4" spans="1:7">
      <c r="A4" s="14" t="s">
        <v>205</v>
      </c>
      <c r="B4" s="303"/>
      <c r="C4" s="303">
        <v>3</v>
      </c>
      <c r="D4" s="303"/>
      <c r="E4" s="330">
        <f>AVERAGE(LOOKUP(C4,K!$A$12:$A$16,K!$E$12:$E$16),LOOKUP(C4,K!$A$12:$A$16,K!$F$12:$F$16),LOOKUP(C4,K!$A$12:$A$16,K!$G$12:$G$16),LOOKUP(C4,K!$A$12:$A$16,K!$H$12:$H$16),LOOKUP(C4,K!$A$12:$A$16,K!$I$12:$I$16),LOOKUP(C4,K!$A$12:$A$16,K!$J$12:$J$16))</f>
        <v>6.6749999999999998</v>
      </c>
      <c r="F4" s="307">
        <f>SUM(E4:E4)+6.35</f>
        <v>13.024999999999999</v>
      </c>
      <c r="G4" s="303">
        <v>13.07</v>
      </c>
    </row>
    <row r="5" spans="1:7">
      <c r="A5" s="329" t="s">
        <v>206</v>
      </c>
      <c r="B5" s="328"/>
      <c r="C5" s="328">
        <v>4</v>
      </c>
      <c r="D5" s="328" t="s">
        <v>213</v>
      </c>
      <c r="E5" s="330">
        <f>AVERAGE(LOOKUP(C5,K!$A$12:$A$16,K!$E$12:$E$16),LOOKUP(C5,K!$A$12:$A$16,K!$F$12:$F$16),LOOKUP(C5,K!$A$12:$A$16,K!$G$12:$G$16),LOOKUP(C5,K!$A$12:$A$16,K!$H$12:$H$16),LOOKUP(C5,K!$A$12:$A$16,K!$I$12:$I$16),LOOKUP(C5,K!$A$12:$A$16,K!$J$12:$J$16))</f>
        <v>6.6166666666666663</v>
      </c>
      <c r="F5" s="330">
        <f>SUM(E5:E5)+6.35</f>
        <v>12.966666666666665</v>
      </c>
      <c r="G5" s="328">
        <v>13.01</v>
      </c>
    </row>
  </sheetData>
  <phoneticPr fontId="16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F3" sqref="F3"/>
    </sheetView>
  </sheetViews>
  <sheetFormatPr baseColWidth="10" defaultRowHeight="14" x14ac:dyDescent="0"/>
  <cols>
    <col min="1" max="1" width="18.1640625" customWidth="1"/>
    <col min="4" max="4" width="15.83203125" customWidth="1"/>
    <col min="5" max="5" width="24.6640625" customWidth="1"/>
    <col min="6" max="7" width="37.6640625" customWidth="1"/>
  </cols>
  <sheetData>
    <row r="1" spans="1:7" ht="23">
      <c r="A1" s="304" t="s">
        <v>106</v>
      </c>
      <c r="B1" s="304" t="s">
        <v>108</v>
      </c>
      <c r="C1" s="304" t="s">
        <v>208</v>
      </c>
      <c r="D1" s="309" t="s">
        <v>126</v>
      </c>
      <c r="E1" s="304" t="s">
        <v>115</v>
      </c>
      <c r="F1" s="304" t="s">
        <v>117</v>
      </c>
      <c r="G1" s="304" t="s">
        <v>118</v>
      </c>
    </row>
    <row r="2" spans="1:7">
      <c r="A2" s="329" t="s">
        <v>209</v>
      </c>
      <c r="B2" s="328"/>
      <c r="C2" s="328">
        <v>7</v>
      </c>
      <c r="D2" s="328"/>
      <c r="E2" s="330">
        <f>AVERAGE(LOOKUP(C2,Ks!$A$12:$A$13,Ks!$E$12:$E$13),LOOKUP(C2,Ks!$A$12:$A$13,Ks!$F$12:$F$13),LOOKUP(C2,Ks!$A$12:$A$13,Ks!$G$12:$G$13),LOOKUP(C2,Ks!$A$12:$A$13,Ks!$H$12:$H$13),LOOKUP(C2,Ks!$A$12:$A$13,Ks!$I$12:$I$13),LOOKUP(C2,Ks!$A$12:$A$13,Ks!$J$12:$J$13))</f>
        <v>6.6999999999999993</v>
      </c>
      <c r="F2" s="333">
        <f>SUM(E2:E2)+6.2738</f>
        <v>12.973799999999999</v>
      </c>
      <c r="G2" s="328">
        <v>13.07</v>
      </c>
    </row>
  </sheetData>
  <phoneticPr fontId="16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75"/>
  <sheetViews>
    <sheetView view="pageBreakPreview" zoomScale="85" zoomScaleNormal="70" zoomScaleSheetLayoutView="85" zoomScalePageLayoutView="70" workbookViewId="0">
      <selection activeCell="B12" sqref="B12"/>
    </sheetView>
  </sheetViews>
  <sheetFormatPr baseColWidth="10" defaultColWidth="8.83203125" defaultRowHeight="14" x14ac:dyDescent="0"/>
  <cols>
    <col min="1" max="1" width="6.33203125" customWidth="1"/>
    <col min="2" max="2" width="16.1640625" customWidth="1"/>
    <col min="3" max="4" width="5.1640625" customWidth="1"/>
    <col min="5" max="9" width="5.5" customWidth="1"/>
    <col min="10" max="10" width="3.1640625" bestFit="1" customWidth="1"/>
    <col min="11" max="12" width="6.83203125" customWidth="1"/>
    <col min="13" max="16" width="3.6640625" customWidth="1"/>
    <col min="17" max="17" width="9.5" customWidth="1"/>
    <col min="18" max="18" width="5.5" customWidth="1"/>
    <col min="19" max="19" width="5.1640625" customWidth="1"/>
    <col min="20" max="20" width="9.83203125" customWidth="1"/>
    <col min="22" max="22" width="10.1640625" bestFit="1" customWidth="1"/>
    <col min="23" max="23" width="10.5" bestFit="1" customWidth="1"/>
    <col min="24" max="24" width="9.33203125" customWidth="1"/>
    <col min="25" max="25" width="9.5" customWidth="1"/>
    <col min="26" max="26" width="7.83203125" customWidth="1"/>
  </cols>
  <sheetData>
    <row r="1" spans="1:31">
      <c r="A1" s="1" t="s">
        <v>49</v>
      </c>
      <c r="B1" s="79"/>
      <c r="C1" s="79"/>
      <c r="D1" s="79"/>
      <c r="E1" s="80"/>
      <c r="F1" s="80"/>
      <c r="G1" s="80"/>
      <c r="H1" s="80"/>
      <c r="I1" s="80"/>
      <c r="J1" s="80"/>
      <c r="K1" s="79"/>
      <c r="L1" s="79"/>
      <c r="M1" s="79"/>
      <c r="N1" s="79"/>
      <c r="O1" s="79"/>
      <c r="P1" s="79"/>
      <c r="Q1" s="1"/>
      <c r="R1" s="78"/>
      <c r="S1" s="78"/>
      <c r="T1" s="78"/>
      <c r="V1" s="79"/>
      <c r="W1" s="79"/>
      <c r="X1" s="1"/>
      <c r="Y1" s="1"/>
      <c r="Z1" s="1"/>
      <c r="AA1" s="1"/>
      <c r="AB1" s="1"/>
      <c r="AC1" s="1"/>
      <c r="AD1" s="1"/>
      <c r="AE1" s="1"/>
    </row>
    <row r="2" spans="1:31">
      <c r="A2" s="1" t="s">
        <v>48</v>
      </c>
      <c r="B2" s="79"/>
      <c r="C2" s="79"/>
      <c r="D2" s="79"/>
      <c r="E2" s="80"/>
      <c r="F2" s="80"/>
      <c r="G2" s="80"/>
      <c r="H2" s="80"/>
      <c r="I2" s="80"/>
      <c r="J2" s="80"/>
      <c r="K2" s="79"/>
      <c r="L2" s="79"/>
      <c r="M2" s="79"/>
      <c r="N2" s="79"/>
      <c r="O2" s="79"/>
      <c r="P2" s="79"/>
      <c r="Q2" s="1"/>
      <c r="R2" s="78"/>
      <c r="S2" s="78"/>
      <c r="T2" s="78"/>
      <c r="V2" s="79"/>
      <c r="W2" s="79"/>
      <c r="X2" s="1"/>
      <c r="Y2" s="1"/>
      <c r="Z2" s="1"/>
      <c r="AA2" s="1"/>
      <c r="AB2" s="1"/>
      <c r="AC2" s="1"/>
      <c r="AD2" s="1"/>
      <c r="AE2" s="1"/>
    </row>
    <row r="3" spans="1:31">
      <c r="A3" s="1" t="s">
        <v>47</v>
      </c>
      <c r="B3" s="79"/>
      <c r="C3" s="79"/>
      <c r="D3" s="79"/>
      <c r="E3" s="80"/>
      <c r="F3" s="80"/>
      <c r="G3" s="80"/>
      <c r="H3" s="80"/>
      <c r="I3" s="80"/>
      <c r="J3" s="80"/>
      <c r="K3" s="79"/>
      <c r="L3" s="79"/>
      <c r="M3" s="79"/>
      <c r="N3" s="79"/>
      <c r="O3" s="79"/>
      <c r="P3" s="79"/>
      <c r="Q3" s="1"/>
      <c r="R3" s="78"/>
      <c r="S3" s="78"/>
      <c r="T3" s="78"/>
      <c r="V3" s="79"/>
      <c r="W3" s="79"/>
      <c r="X3" s="1"/>
      <c r="Y3" s="1"/>
      <c r="Z3" s="1"/>
      <c r="AA3" s="1"/>
      <c r="AB3" s="1"/>
      <c r="AC3" s="1"/>
      <c r="AD3" s="1"/>
      <c r="AE3" s="1"/>
    </row>
    <row r="4" spans="1:31">
      <c r="A4" s="1"/>
      <c r="B4" s="79"/>
      <c r="C4" s="79"/>
      <c r="D4" s="79"/>
      <c r="E4" s="80"/>
      <c r="F4" s="80"/>
      <c r="G4" s="80"/>
      <c r="H4" s="80"/>
      <c r="I4" s="80"/>
      <c r="J4" s="80"/>
      <c r="K4" s="79"/>
      <c r="L4" s="79"/>
      <c r="M4" s="79"/>
      <c r="N4" s="79"/>
      <c r="O4" s="79"/>
      <c r="P4" s="79"/>
      <c r="Q4" s="1"/>
      <c r="R4" s="78"/>
      <c r="S4" s="78"/>
      <c r="T4" s="78"/>
      <c r="V4" s="79"/>
      <c r="W4" s="79"/>
      <c r="X4" s="1"/>
      <c r="Y4" s="1"/>
      <c r="Z4" s="1"/>
      <c r="AA4" s="1"/>
      <c r="AB4" s="1"/>
      <c r="AC4" s="1"/>
      <c r="AD4" s="1"/>
      <c r="AE4" s="1"/>
    </row>
    <row r="5" spans="1:31">
      <c r="A5" s="1"/>
      <c r="B5" s="79" t="s">
        <v>46</v>
      </c>
      <c r="C5" s="79" t="s">
        <v>45</v>
      </c>
      <c r="D5" s="79"/>
      <c r="E5" s="80"/>
      <c r="F5" s="80"/>
      <c r="G5" s="80"/>
      <c r="H5" s="80"/>
      <c r="I5" s="80"/>
      <c r="J5" s="80"/>
      <c r="K5" s="79"/>
      <c r="L5" s="79"/>
      <c r="M5" s="79"/>
      <c r="N5" s="79"/>
      <c r="O5" s="79"/>
      <c r="P5" s="79"/>
      <c r="Q5" s="1"/>
      <c r="R5" s="78"/>
      <c r="S5" s="78"/>
      <c r="T5" s="78"/>
      <c r="V5" s="79"/>
      <c r="W5" s="79"/>
      <c r="X5" s="1"/>
      <c r="Y5" s="1"/>
      <c r="Z5" s="1"/>
      <c r="AA5" s="1"/>
      <c r="AB5" s="1"/>
      <c r="AC5" s="1"/>
      <c r="AD5" s="1"/>
      <c r="AE5" s="1"/>
    </row>
    <row r="6" spans="1:31">
      <c r="A6" s="1" t="s">
        <v>66</v>
      </c>
      <c r="B6" s="79">
        <v>0.02</v>
      </c>
      <c r="C6" s="79">
        <f>B6*25.4</f>
        <v>0.50800000000000001</v>
      </c>
      <c r="D6" s="79"/>
      <c r="E6" s="80"/>
      <c r="F6" s="80"/>
      <c r="G6" s="80"/>
      <c r="H6" s="80"/>
      <c r="I6" s="80"/>
      <c r="J6" s="80"/>
      <c r="K6" s="79"/>
      <c r="L6" s="79"/>
      <c r="M6" s="79"/>
      <c r="N6" s="79"/>
      <c r="O6" s="79"/>
      <c r="P6" s="79"/>
      <c r="Q6" s="1"/>
      <c r="R6" s="78"/>
      <c r="S6" s="78"/>
      <c r="T6" s="78"/>
      <c r="V6" s="79"/>
      <c r="W6" s="79"/>
      <c r="X6" s="1"/>
      <c r="Y6" s="1"/>
      <c r="Z6" s="1"/>
      <c r="AA6" s="1"/>
      <c r="AB6" s="1"/>
      <c r="AC6" s="1"/>
      <c r="AD6" s="1"/>
      <c r="AE6" s="1"/>
    </row>
    <row r="7" spans="1:31">
      <c r="A7" s="1"/>
      <c r="B7" s="79"/>
      <c r="C7" s="79"/>
      <c r="D7" s="79"/>
      <c r="E7" s="80"/>
      <c r="F7" s="80"/>
      <c r="G7" s="80"/>
      <c r="H7" s="80"/>
      <c r="I7" s="80"/>
      <c r="J7" s="80"/>
      <c r="K7" s="79"/>
      <c r="L7" s="79"/>
      <c r="M7" s="79"/>
      <c r="N7" s="79"/>
      <c r="O7" s="79"/>
      <c r="P7" s="79"/>
      <c r="Q7" s="1"/>
      <c r="R7" s="78"/>
      <c r="S7" s="78"/>
      <c r="T7" s="78"/>
      <c r="V7" s="79"/>
      <c r="W7" s="79"/>
      <c r="X7" s="1"/>
      <c r="Y7" s="1"/>
      <c r="Z7" s="1"/>
      <c r="AA7" s="1"/>
      <c r="AB7" s="1"/>
      <c r="AC7" s="1"/>
      <c r="AD7" s="1"/>
      <c r="AE7" s="1"/>
    </row>
    <row r="8" spans="1:31">
      <c r="A8" s="77" t="s">
        <v>54</v>
      </c>
      <c r="B8" s="79"/>
      <c r="C8" s="79"/>
      <c r="D8" s="79"/>
      <c r="E8" s="80"/>
      <c r="F8" s="80"/>
      <c r="G8" s="80"/>
      <c r="H8" s="80"/>
      <c r="I8" s="80"/>
      <c r="J8" s="80"/>
      <c r="K8" s="79"/>
      <c r="L8" s="79"/>
      <c r="M8" s="79"/>
      <c r="N8" s="79"/>
      <c r="O8" s="79"/>
      <c r="P8" s="79"/>
      <c r="Q8" s="1"/>
      <c r="R8" s="78"/>
      <c r="S8" s="78"/>
      <c r="T8" s="78"/>
      <c r="V8" s="77" t="s">
        <v>42</v>
      </c>
      <c r="W8" s="79"/>
      <c r="X8" s="1"/>
      <c r="Z8" s="1"/>
      <c r="AA8" s="1"/>
      <c r="AB8" s="1"/>
      <c r="AC8" s="1"/>
      <c r="AD8" s="1"/>
      <c r="AE8" s="1"/>
    </row>
    <row r="9" spans="1:31" ht="42">
      <c r="A9" s="71" t="s">
        <v>32</v>
      </c>
      <c r="B9" s="76" t="s">
        <v>41</v>
      </c>
      <c r="C9" s="386" t="s">
        <v>40</v>
      </c>
      <c r="D9" s="387"/>
      <c r="E9" s="385" t="s">
        <v>39</v>
      </c>
      <c r="F9" s="385"/>
      <c r="G9" s="385"/>
      <c r="H9" s="385"/>
      <c r="I9" s="385"/>
      <c r="J9" s="75"/>
      <c r="K9" s="386" t="s">
        <v>38</v>
      </c>
      <c r="L9" s="387"/>
      <c r="M9" s="386" t="s">
        <v>37</v>
      </c>
      <c r="N9" s="384"/>
      <c r="O9" s="384"/>
      <c r="P9" s="384"/>
      <c r="Q9" s="74" t="s">
        <v>36</v>
      </c>
      <c r="R9" s="204" t="s">
        <v>70</v>
      </c>
      <c r="S9" s="203" t="s">
        <v>69</v>
      </c>
      <c r="T9" s="19" t="s">
        <v>33</v>
      </c>
      <c r="V9" s="19" t="s">
        <v>32</v>
      </c>
      <c r="W9" s="19" t="s">
        <v>65</v>
      </c>
      <c r="X9" s="69" t="s">
        <v>31</v>
      </c>
      <c r="Y9" s="68" t="s">
        <v>30</v>
      </c>
      <c r="Z9" s="19" t="s">
        <v>29</v>
      </c>
      <c r="AA9" s="67" t="s">
        <v>51</v>
      </c>
      <c r="AB9" s="161" t="s">
        <v>27</v>
      </c>
      <c r="AC9" s="1"/>
      <c r="AD9" s="1"/>
      <c r="AE9" s="1"/>
    </row>
    <row r="10" spans="1:31" s="57" customFormat="1">
      <c r="A10" s="128"/>
      <c r="B10" s="134"/>
      <c r="C10" s="133">
        <v>1</v>
      </c>
      <c r="D10" s="134">
        <v>2</v>
      </c>
      <c r="E10" s="133">
        <v>1</v>
      </c>
      <c r="F10" s="132">
        <v>2</v>
      </c>
      <c r="G10" s="132">
        <v>3</v>
      </c>
      <c r="H10" s="132">
        <v>4</v>
      </c>
      <c r="I10" s="132">
        <v>5</v>
      </c>
      <c r="J10" s="134">
        <v>6</v>
      </c>
      <c r="K10" s="133">
        <v>1</v>
      </c>
      <c r="L10" s="134">
        <v>2</v>
      </c>
      <c r="M10" s="133">
        <v>1</v>
      </c>
      <c r="N10" s="132">
        <v>2</v>
      </c>
      <c r="O10" s="132">
        <v>3</v>
      </c>
      <c r="P10" s="132">
        <v>4</v>
      </c>
      <c r="Q10" s="129"/>
      <c r="R10" s="133"/>
      <c r="S10" s="134"/>
      <c r="T10" s="127"/>
      <c r="V10" s="127"/>
      <c r="W10" s="59"/>
      <c r="X10" s="59"/>
      <c r="Y10" s="59"/>
      <c r="Z10" s="59"/>
      <c r="AA10" s="59"/>
      <c r="AB10" s="65"/>
      <c r="AC10" s="10"/>
      <c r="AD10" s="10"/>
      <c r="AE10" s="10"/>
    </row>
    <row r="11" spans="1:31">
      <c r="A11" s="12"/>
      <c r="B11" s="54"/>
      <c r="C11" s="56"/>
      <c r="D11" s="54"/>
      <c r="E11" s="56"/>
      <c r="F11" s="12"/>
      <c r="G11" s="12"/>
      <c r="H11" s="12"/>
      <c r="I11" s="12"/>
      <c r="J11" s="54"/>
      <c r="K11" s="56"/>
      <c r="L11" s="54"/>
      <c r="M11" s="56"/>
      <c r="N11" s="12"/>
      <c r="O11" s="12"/>
      <c r="P11" s="12"/>
      <c r="Q11" s="54"/>
      <c r="R11" s="56"/>
      <c r="S11" s="54"/>
      <c r="T11" s="35"/>
      <c r="V11" s="35"/>
      <c r="W11" s="35"/>
      <c r="X11" s="35"/>
      <c r="Y11" s="35"/>
      <c r="Z11" s="35"/>
      <c r="AA11" s="35"/>
      <c r="AB11" s="12"/>
      <c r="AC11" s="1"/>
      <c r="AD11" s="1"/>
      <c r="AE11" s="1"/>
    </row>
    <row r="12" spans="1:31">
      <c r="A12" s="32">
        <v>154</v>
      </c>
      <c r="B12" s="123"/>
      <c r="C12" s="168">
        <v>102</v>
      </c>
      <c r="D12" s="167">
        <v>102</v>
      </c>
      <c r="E12" s="166">
        <v>0.52</v>
      </c>
      <c r="F12" s="11">
        <v>0.52</v>
      </c>
      <c r="G12" s="11">
        <v>0.52</v>
      </c>
      <c r="H12" s="11">
        <v>0.52</v>
      </c>
      <c r="I12" s="199">
        <v>0.52</v>
      </c>
      <c r="J12" s="121"/>
      <c r="K12" s="166">
        <v>26.17</v>
      </c>
      <c r="L12" s="165">
        <v>26.11</v>
      </c>
      <c r="M12" s="41" t="s">
        <v>22</v>
      </c>
      <c r="N12" s="164"/>
      <c r="O12" s="45"/>
      <c r="P12" s="23"/>
      <c r="Q12" s="123"/>
      <c r="R12" s="162">
        <v>18.8</v>
      </c>
      <c r="S12" s="36">
        <f t="shared" ref="S12:S48" si="0">R12/(AVERAGE(C12:D12)*AVERAGE(E12:J12)*AVERAGE(K12:L12)*0.001)</f>
        <v>13.559658458168743</v>
      </c>
      <c r="T12" s="35">
        <v>3</v>
      </c>
      <c r="V12" s="161">
        <v>154</v>
      </c>
      <c r="W12" s="160">
        <f t="shared" ref="W12:W48" si="1">MAX(E12:I12)-MIN(E12:I12)</f>
        <v>0</v>
      </c>
      <c r="X12" s="35">
        <f>IF(OR(ABS(E12-B!$C$6)&gt;(B!$C$6*0.1),ABS(F12-B!$C$6)&gt;(B!$C$6*0.1),ABS(G12-B!$C$6)&gt;(B!$C$6*0.1),ABS(H12-B!$C$6)&gt;(B!$C$6*0.1),ABS(I12-B!$C$6)&gt;(B!$C$6*0.1)),1,0)</f>
        <v>0</v>
      </c>
      <c r="Y12" s="35">
        <v>0</v>
      </c>
      <c r="Z12" s="34">
        <v>0</v>
      </c>
      <c r="AA12" s="33">
        <f t="shared" ref="AA12:AA48" si="2">IF(OR(M12="Y",N12="Y",O12="Y",P12="Y"),1,0)</f>
        <v>1</v>
      </c>
      <c r="AB12" s="198"/>
      <c r="AC12" s="1"/>
      <c r="AD12" s="1"/>
      <c r="AE12" s="1"/>
    </row>
    <row r="13" spans="1:31">
      <c r="A13" s="12">
        <f t="shared" ref="A13:A48" si="3">A12+1</f>
        <v>155</v>
      </c>
      <c r="B13" s="123"/>
      <c r="C13" s="168">
        <v>102</v>
      </c>
      <c r="D13" s="167">
        <v>102</v>
      </c>
      <c r="E13" s="166">
        <v>0.51</v>
      </c>
      <c r="F13" s="11">
        <v>0.52</v>
      </c>
      <c r="G13" s="11">
        <v>0.51</v>
      </c>
      <c r="H13" s="11">
        <v>0.51</v>
      </c>
      <c r="I13" s="199">
        <v>0.51</v>
      </c>
      <c r="J13" s="121"/>
      <c r="K13" s="166">
        <v>26.22</v>
      </c>
      <c r="L13" s="165">
        <v>26.11</v>
      </c>
      <c r="M13" s="41"/>
      <c r="N13" s="164" t="s">
        <v>22</v>
      </c>
      <c r="O13" s="45"/>
      <c r="P13" s="23"/>
      <c r="Q13" s="123"/>
      <c r="R13" s="162">
        <v>18.399999999999999</v>
      </c>
      <c r="S13" s="36">
        <f t="shared" si="0"/>
        <v>13.465638500766254</v>
      </c>
      <c r="T13" s="35">
        <v>3</v>
      </c>
      <c r="V13" s="35">
        <f t="shared" ref="V13:V48" si="4">V12+1</f>
        <v>155</v>
      </c>
      <c r="W13" s="160">
        <f t="shared" si="1"/>
        <v>1.0000000000000009E-2</v>
      </c>
      <c r="X13" s="35">
        <f>IF(OR(ABS(E13-B!$C$6)&gt;(B!$C$6*0.1),ABS(F13-B!$C$6)&gt;(B!$C$6*0.1),ABS(G13-B!$C$6)&gt;(B!$C$6*0.1),ABS(H13-B!$C$6)&gt;(B!$C$6*0.1),ABS(I13-B!$C$6)&gt;(B!$C$6*0.1)),1,0)</f>
        <v>0</v>
      </c>
      <c r="Y13" s="35">
        <v>0</v>
      </c>
      <c r="Z13" s="34">
        <v>0</v>
      </c>
      <c r="AA13" s="33">
        <f t="shared" si="2"/>
        <v>1</v>
      </c>
      <c r="AB13" s="198"/>
      <c r="AC13" s="1"/>
      <c r="AD13" s="1"/>
      <c r="AE13" s="1"/>
    </row>
    <row r="14" spans="1:31">
      <c r="A14" s="12">
        <f t="shared" si="3"/>
        <v>156</v>
      </c>
      <c r="B14" s="123"/>
      <c r="C14" s="168">
        <v>103</v>
      </c>
      <c r="D14" s="167">
        <v>102</v>
      </c>
      <c r="E14" s="166">
        <v>0.51</v>
      </c>
      <c r="F14" s="11">
        <v>0.52</v>
      </c>
      <c r="G14" s="11">
        <v>0.52</v>
      </c>
      <c r="H14" s="11">
        <v>0.52</v>
      </c>
      <c r="I14" s="199">
        <v>0.52</v>
      </c>
      <c r="J14" s="121"/>
      <c r="K14" s="166">
        <v>26.2</v>
      </c>
      <c r="L14" s="165">
        <v>26.14</v>
      </c>
      <c r="M14" s="41" t="s">
        <v>22</v>
      </c>
      <c r="N14" s="164"/>
      <c r="O14" s="45"/>
      <c r="P14" s="23"/>
      <c r="Q14" s="123"/>
      <c r="R14" s="162">
        <v>18.7</v>
      </c>
      <c r="S14" s="36">
        <f t="shared" si="0"/>
        <v>13.458115734973426</v>
      </c>
      <c r="T14" s="35">
        <v>3</v>
      </c>
      <c r="V14" s="35">
        <f t="shared" si="4"/>
        <v>156</v>
      </c>
      <c r="W14" s="160">
        <f t="shared" si="1"/>
        <v>1.0000000000000009E-2</v>
      </c>
      <c r="X14" s="35">
        <f>IF(OR(ABS(E14-B!$C$6)&gt;(B!$C$6*0.1),ABS(F14-B!$C$6)&gt;(B!$C$6*0.1),ABS(G14-B!$C$6)&gt;(B!$C$6*0.1),ABS(H14-B!$C$6)&gt;(B!$C$6*0.1),ABS(I14-B!$C$6)&gt;(B!$C$6*0.1)),1,0)</f>
        <v>0</v>
      </c>
      <c r="Y14" s="35">
        <v>0</v>
      </c>
      <c r="Z14" s="34">
        <v>0</v>
      </c>
      <c r="AA14" s="33">
        <f t="shared" si="2"/>
        <v>1</v>
      </c>
      <c r="AB14" s="198"/>
      <c r="AC14" s="1"/>
      <c r="AD14" s="1"/>
      <c r="AE14" s="1"/>
    </row>
    <row r="15" spans="1:31">
      <c r="A15" s="12">
        <f t="shared" si="3"/>
        <v>157</v>
      </c>
      <c r="B15" s="123"/>
      <c r="C15" s="168">
        <v>102</v>
      </c>
      <c r="D15" s="167">
        <v>103</v>
      </c>
      <c r="E15" s="166">
        <v>0.49</v>
      </c>
      <c r="F15" s="11">
        <v>0.5</v>
      </c>
      <c r="G15" s="11">
        <v>0.5</v>
      </c>
      <c r="H15" s="11">
        <v>0.5</v>
      </c>
      <c r="I15" s="199">
        <v>0.5</v>
      </c>
      <c r="J15" s="121"/>
      <c r="K15" s="166">
        <v>26.22</v>
      </c>
      <c r="L15" s="165">
        <v>26.09</v>
      </c>
      <c r="M15" s="41" t="s">
        <v>20</v>
      </c>
      <c r="N15" s="164"/>
      <c r="O15" s="45"/>
      <c r="P15" s="23"/>
      <c r="Q15" s="163" t="s">
        <v>19</v>
      </c>
      <c r="R15" s="162">
        <v>18.2</v>
      </c>
      <c r="S15" s="36">
        <f t="shared" si="0"/>
        <v>13.632121727956065</v>
      </c>
      <c r="T15" s="35">
        <v>3</v>
      </c>
      <c r="V15" s="35">
        <f t="shared" si="4"/>
        <v>157</v>
      </c>
      <c r="W15" s="160">
        <f t="shared" si="1"/>
        <v>1.0000000000000009E-2</v>
      </c>
      <c r="X15" s="35">
        <f>IF(OR(ABS(E15-B!$C$6)&gt;(B!$C$6*0.1),ABS(F15-B!$C$6)&gt;(B!$C$6*0.1),ABS(G15-B!$C$6)&gt;(B!$C$6*0.1),ABS(H15-B!$C$6)&gt;(B!$C$6*0.1),ABS(I15-B!$C$6)&gt;(B!$C$6*0.1)),1,0)</f>
        <v>0</v>
      </c>
      <c r="Y15" s="35">
        <v>0</v>
      </c>
      <c r="Z15" s="34">
        <v>0</v>
      </c>
      <c r="AA15" s="33">
        <f t="shared" si="2"/>
        <v>0</v>
      </c>
      <c r="AB15" s="198"/>
      <c r="AC15" s="1"/>
      <c r="AD15" s="1"/>
      <c r="AE15" s="1"/>
    </row>
    <row r="16" spans="1:31">
      <c r="A16" s="12">
        <f t="shared" si="3"/>
        <v>158</v>
      </c>
      <c r="B16" s="123"/>
      <c r="C16" s="168">
        <v>102</v>
      </c>
      <c r="D16" s="167">
        <v>102</v>
      </c>
      <c r="E16" s="166">
        <v>0.5</v>
      </c>
      <c r="F16" s="11">
        <v>0.5</v>
      </c>
      <c r="G16" s="11">
        <v>0.5</v>
      </c>
      <c r="H16" s="11">
        <v>0.5</v>
      </c>
      <c r="I16" s="199">
        <v>0.49</v>
      </c>
      <c r="J16" s="121"/>
      <c r="K16" s="166">
        <v>26.12</v>
      </c>
      <c r="L16" s="165">
        <v>26.13</v>
      </c>
      <c r="M16" s="41" t="s">
        <v>20</v>
      </c>
      <c r="N16" s="164" t="s">
        <v>20</v>
      </c>
      <c r="O16" s="45"/>
      <c r="P16" s="23"/>
      <c r="Q16" s="123"/>
      <c r="R16" s="162">
        <v>18</v>
      </c>
      <c r="S16" s="36">
        <f t="shared" si="0"/>
        <v>13.563965968009386</v>
      </c>
      <c r="T16" s="35">
        <v>3</v>
      </c>
      <c r="V16" s="35">
        <f t="shared" si="4"/>
        <v>158</v>
      </c>
      <c r="W16" s="160">
        <f t="shared" si="1"/>
        <v>1.0000000000000009E-2</v>
      </c>
      <c r="X16" s="35">
        <f>IF(OR(ABS(E16-B!$C$6)&gt;(B!$C$6*0.1),ABS(F16-B!$C$6)&gt;(B!$C$6*0.1),ABS(G16-B!$C$6)&gt;(B!$C$6*0.1),ABS(H16-B!$C$6)&gt;(B!$C$6*0.1),ABS(I16-B!$C$6)&gt;(B!$C$6*0.1)),1,0)</f>
        <v>0</v>
      </c>
      <c r="Y16" s="35">
        <v>0</v>
      </c>
      <c r="Z16" s="34">
        <v>0</v>
      </c>
      <c r="AA16" s="33">
        <f t="shared" si="2"/>
        <v>0</v>
      </c>
      <c r="AB16" s="198"/>
      <c r="AC16" s="1"/>
      <c r="AD16" s="1"/>
      <c r="AE16" s="1"/>
    </row>
    <row r="17" spans="1:31">
      <c r="A17" s="12">
        <f t="shared" si="3"/>
        <v>159</v>
      </c>
      <c r="B17" s="123"/>
      <c r="C17" s="168">
        <v>102</v>
      </c>
      <c r="D17" s="167">
        <v>102</v>
      </c>
      <c r="E17" s="166">
        <v>0.51</v>
      </c>
      <c r="F17" s="11">
        <v>0.51</v>
      </c>
      <c r="G17" s="11">
        <v>0.51</v>
      </c>
      <c r="H17" s="11">
        <v>0.51</v>
      </c>
      <c r="I17" s="199">
        <v>0.51</v>
      </c>
      <c r="J17" s="121"/>
      <c r="K17" s="166">
        <v>26.16</v>
      </c>
      <c r="L17" s="165">
        <v>26.13</v>
      </c>
      <c r="M17" s="41" t="s">
        <v>20</v>
      </c>
      <c r="N17" s="164"/>
      <c r="O17" s="45"/>
      <c r="P17" s="23"/>
      <c r="Q17" s="123"/>
      <c r="R17" s="162">
        <v>18.7</v>
      </c>
      <c r="S17" s="36">
        <f t="shared" si="0"/>
        <v>13.749364091910747</v>
      </c>
      <c r="T17" s="35">
        <v>3</v>
      </c>
      <c r="V17" s="35">
        <f t="shared" si="4"/>
        <v>159</v>
      </c>
      <c r="W17" s="160">
        <f t="shared" si="1"/>
        <v>0</v>
      </c>
      <c r="X17" s="35">
        <f>IF(OR(ABS(E17-B!$C$6)&gt;(B!$C$6*0.1),ABS(F17-B!$C$6)&gt;(B!$C$6*0.1),ABS(G17-B!$C$6)&gt;(B!$C$6*0.1),ABS(H17-B!$C$6)&gt;(B!$C$6*0.1),ABS(I17-B!$C$6)&gt;(B!$C$6*0.1)),1,0)</f>
        <v>0</v>
      </c>
      <c r="Y17" s="35">
        <v>0</v>
      </c>
      <c r="Z17" s="34">
        <v>0</v>
      </c>
      <c r="AA17" s="33">
        <f t="shared" si="2"/>
        <v>0</v>
      </c>
      <c r="AB17" s="198"/>
      <c r="AC17" s="1"/>
      <c r="AD17" s="1"/>
      <c r="AE17" s="1"/>
    </row>
    <row r="18" spans="1:31">
      <c r="A18" s="12">
        <f t="shared" si="3"/>
        <v>160</v>
      </c>
      <c r="B18" s="123"/>
      <c r="C18" s="168">
        <v>102</v>
      </c>
      <c r="D18" s="167">
        <v>102</v>
      </c>
      <c r="E18" s="166">
        <v>0.51</v>
      </c>
      <c r="F18" s="11">
        <v>0.51</v>
      </c>
      <c r="G18" s="11">
        <v>0.51</v>
      </c>
      <c r="H18" s="11">
        <v>0.51</v>
      </c>
      <c r="I18" s="199">
        <v>0.51</v>
      </c>
      <c r="J18" s="121"/>
      <c r="K18" s="166">
        <v>26.1</v>
      </c>
      <c r="L18" s="165">
        <v>26.24</v>
      </c>
      <c r="M18" s="41" t="s">
        <v>20</v>
      </c>
      <c r="N18" s="164"/>
      <c r="O18" s="45"/>
      <c r="P18" s="23"/>
      <c r="Q18" s="123"/>
      <c r="R18" s="162">
        <v>18.2</v>
      </c>
      <c r="S18" s="36">
        <f t="shared" si="0"/>
        <v>13.368950568231817</v>
      </c>
      <c r="T18" s="35">
        <v>3</v>
      </c>
      <c r="V18" s="35">
        <f t="shared" si="4"/>
        <v>160</v>
      </c>
      <c r="W18" s="160">
        <f t="shared" si="1"/>
        <v>0</v>
      </c>
      <c r="X18" s="35">
        <f>IF(OR(ABS(E18-B!$C$6)&gt;(B!$C$6*0.1),ABS(F18-B!$C$6)&gt;(B!$C$6*0.1),ABS(G18-B!$C$6)&gt;(B!$C$6*0.1),ABS(H18-B!$C$6)&gt;(B!$C$6*0.1),ABS(I18-B!$C$6)&gt;(B!$C$6*0.1)),1,0)</f>
        <v>0</v>
      </c>
      <c r="Y18" s="35">
        <v>0</v>
      </c>
      <c r="Z18" s="34">
        <v>0</v>
      </c>
      <c r="AA18" s="33">
        <f t="shared" si="2"/>
        <v>0</v>
      </c>
      <c r="AB18" s="198"/>
      <c r="AC18" s="1"/>
      <c r="AD18" s="1"/>
      <c r="AE18" s="1"/>
    </row>
    <row r="19" spans="1:31">
      <c r="A19" s="12">
        <f t="shared" si="3"/>
        <v>161</v>
      </c>
      <c r="B19" s="123"/>
      <c r="C19" s="168">
        <v>102</v>
      </c>
      <c r="D19" s="167">
        <v>102</v>
      </c>
      <c r="E19" s="166">
        <v>0.52</v>
      </c>
      <c r="F19" s="11">
        <v>0.52</v>
      </c>
      <c r="G19" s="11">
        <v>0.52</v>
      </c>
      <c r="H19" s="11">
        <v>0.52</v>
      </c>
      <c r="I19" s="199">
        <v>0.52</v>
      </c>
      <c r="J19" s="121"/>
      <c r="K19" s="166">
        <v>26.11</v>
      </c>
      <c r="L19" s="165">
        <v>26.13</v>
      </c>
      <c r="M19" s="41"/>
      <c r="N19" s="164" t="s">
        <v>20</v>
      </c>
      <c r="O19" s="45"/>
      <c r="P19" s="23"/>
      <c r="Q19" s="123"/>
      <c r="R19" s="162">
        <v>18.600000000000001</v>
      </c>
      <c r="S19" s="36">
        <f t="shared" si="0"/>
        <v>13.425678906266242</v>
      </c>
      <c r="T19" s="35">
        <v>3</v>
      </c>
      <c r="V19" s="35">
        <f t="shared" si="4"/>
        <v>161</v>
      </c>
      <c r="W19" s="160">
        <f t="shared" si="1"/>
        <v>0</v>
      </c>
      <c r="X19" s="35">
        <f>IF(OR(ABS(E19-B!$C$6)&gt;(B!$C$6*0.1),ABS(F19-B!$C$6)&gt;(B!$C$6*0.1),ABS(G19-B!$C$6)&gt;(B!$C$6*0.1),ABS(H19-B!$C$6)&gt;(B!$C$6*0.1),ABS(I19-B!$C$6)&gt;(B!$C$6*0.1)),1,0)</f>
        <v>0</v>
      </c>
      <c r="Y19" s="35">
        <v>0</v>
      </c>
      <c r="Z19" s="34">
        <v>0</v>
      </c>
      <c r="AA19" s="33">
        <f t="shared" si="2"/>
        <v>0</v>
      </c>
      <c r="AB19" s="198"/>
      <c r="AC19" s="1"/>
      <c r="AD19" s="1"/>
      <c r="AE19" s="1"/>
    </row>
    <row r="20" spans="1:31">
      <c r="A20" s="12">
        <f t="shared" si="3"/>
        <v>162</v>
      </c>
      <c r="B20" s="123"/>
      <c r="C20" s="168">
        <v>102</v>
      </c>
      <c r="D20" s="167">
        <v>102</v>
      </c>
      <c r="E20" s="166">
        <v>0.52</v>
      </c>
      <c r="F20" s="11">
        <v>0.52</v>
      </c>
      <c r="G20" s="11">
        <v>0.52</v>
      </c>
      <c r="H20" s="11">
        <v>0.53</v>
      </c>
      <c r="I20" s="199">
        <v>0.52</v>
      </c>
      <c r="J20" s="121"/>
      <c r="K20" s="166">
        <v>26.15</v>
      </c>
      <c r="L20" s="38">
        <v>26.12</v>
      </c>
      <c r="M20" s="41"/>
      <c r="N20" s="164" t="s">
        <v>22</v>
      </c>
      <c r="O20" s="45"/>
      <c r="P20" s="23"/>
      <c r="Q20" s="123"/>
      <c r="R20" s="162">
        <v>18.7</v>
      </c>
      <c r="S20" s="36">
        <f t="shared" si="0"/>
        <v>13.43842671696059</v>
      </c>
      <c r="T20" s="35">
        <v>3</v>
      </c>
      <c r="V20" s="35">
        <f t="shared" si="4"/>
        <v>162</v>
      </c>
      <c r="W20" s="160">
        <f t="shared" si="1"/>
        <v>1.0000000000000009E-2</v>
      </c>
      <c r="X20" s="35">
        <f>IF(OR(ABS(E20-B!$C$6)&gt;(B!$C$6*0.1),ABS(F20-B!$C$6)&gt;(B!$C$6*0.1),ABS(G20-B!$C$6)&gt;(B!$C$6*0.1),ABS(H20-B!$C$6)&gt;(B!$C$6*0.1),ABS(I20-B!$C$6)&gt;(B!$C$6*0.1)),1,0)</f>
        <v>0</v>
      </c>
      <c r="Y20" s="35">
        <v>0</v>
      </c>
      <c r="Z20" s="34">
        <v>0</v>
      </c>
      <c r="AA20" s="33">
        <f t="shared" si="2"/>
        <v>1</v>
      </c>
      <c r="AB20" s="198"/>
      <c r="AC20" s="1"/>
      <c r="AD20" s="1"/>
      <c r="AE20" s="1"/>
    </row>
    <row r="21" spans="1:31">
      <c r="A21" s="12">
        <f t="shared" si="3"/>
        <v>163</v>
      </c>
      <c r="B21" s="123"/>
      <c r="C21" s="168">
        <v>102</v>
      </c>
      <c r="D21" s="167">
        <v>102</v>
      </c>
      <c r="E21" s="166">
        <v>0.52</v>
      </c>
      <c r="F21" s="11">
        <v>0.52</v>
      </c>
      <c r="G21" s="11">
        <v>0.52</v>
      </c>
      <c r="H21" s="11">
        <v>0.51</v>
      </c>
      <c r="I21" s="199">
        <v>0.51</v>
      </c>
      <c r="J21" s="121"/>
      <c r="K21" s="166">
        <v>26.13</v>
      </c>
      <c r="L21" s="165">
        <v>26.13</v>
      </c>
      <c r="M21" s="41" t="s">
        <v>22</v>
      </c>
      <c r="N21" s="164"/>
      <c r="O21" s="45"/>
      <c r="P21" s="23"/>
      <c r="Q21" s="123"/>
      <c r="R21" s="162">
        <v>18.7</v>
      </c>
      <c r="S21" s="36">
        <f t="shared" si="0"/>
        <v>13.597288848937579</v>
      </c>
      <c r="T21" s="35">
        <v>3</v>
      </c>
      <c r="V21" s="35">
        <f t="shared" si="4"/>
        <v>163</v>
      </c>
      <c r="W21" s="160">
        <f t="shared" si="1"/>
        <v>1.0000000000000009E-2</v>
      </c>
      <c r="X21" s="35">
        <f>IF(OR(ABS(E21-B!$C$6)&gt;(B!$C$6*0.1),ABS(F21-B!$C$6)&gt;(B!$C$6*0.1),ABS(G21-B!$C$6)&gt;(B!$C$6*0.1),ABS(H21-B!$C$6)&gt;(B!$C$6*0.1),ABS(I21-B!$C$6)&gt;(B!$C$6*0.1)),1,0)</f>
        <v>0</v>
      </c>
      <c r="Y21" s="35">
        <v>0</v>
      </c>
      <c r="Z21" s="34">
        <v>0</v>
      </c>
      <c r="AA21" s="33">
        <f t="shared" si="2"/>
        <v>1</v>
      </c>
      <c r="AB21" s="198"/>
      <c r="AC21" s="1"/>
      <c r="AD21" s="1"/>
      <c r="AE21" s="1"/>
    </row>
    <row r="22" spans="1:31">
      <c r="A22" s="12">
        <f t="shared" si="3"/>
        <v>164</v>
      </c>
      <c r="B22" s="123"/>
      <c r="C22" s="168">
        <v>102</v>
      </c>
      <c r="D22" s="167">
        <v>102</v>
      </c>
      <c r="E22" s="166">
        <v>0.5</v>
      </c>
      <c r="F22" s="11">
        <v>0.51</v>
      </c>
      <c r="G22" s="11">
        <v>0.51</v>
      </c>
      <c r="H22" s="11">
        <v>0.51</v>
      </c>
      <c r="I22" s="199">
        <v>0.51</v>
      </c>
      <c r="J22" s="121"/>
      <c r="K22" s="166">
        <v>26.21</v>
      </c>
      <c r="L22" s="165">
        <v>26.2</v>
      </c>
      <c r="M22" s="41" t="s">
        <v>20</v>
      </c>
      <c r="N22" s="164"/>
      <c r="O22" s="45"/>
      <c r="P22" s="23"/>
      <c r="Q22" s="123"/>
      <c r="R22" s="162">
        <v>18.3</v>
      </c>
      <c r="S22" s="36">
        <f t="shared" si="0"/>
        <v>13.477304528489212</v>
      </c>
      <c r="T22" s="35">
        <v>3</v>
      </c>
      <c r="V22" s="35">
        <f t="shared" si="4"/>
        <v>164</v>
      </c>
      <c r="W22" s="160">
        <f t="shared" si="1"/>
        <v>1.0000000000000009E-2</v>
      </c>
      <c r="X22" s="35">
        <f>IF(OR(ABS(E22-B!$C$6)&gt;(B!$C$6*0.1),ABS(F22-B!$C$6)&gt;(B!$C$6*0.1),ABS(G22-B!$C$6)&gt;(B!$C$6*0.1),ABS(H22-B!$C$6)&gt;(B!$C$6*0.1),ABS(I22-B!$C$6)&gt;(B!$C$6*0.1)),1,0)</f>
        <v>0</v>
      </c>
      <c r="Y22" s="35">
        <v>0</v>
      </c>
      <c r="Z22" s="34">
        <v>0</v>
      </c>
      <c r="AA22" s="33">
        <f t="shared" si="2"/>
        <v>0</v>
      </c>
      <c r="AB22" s="198"/>
      <c r="AC22" s="1"/>
      <c r="AD22" s="1"/>
      <c r="AE22" s="1"/>
    </row>
    <row r="23" spans="1:31">
      <c r="A23" s="12">
        <f t="shared" si="3"/>
        <v>165</v>
      </c>
      <c r="B23" s="123"/>
      <c r="C23" s="168">
        <v>102</v>
      </c>
      <c r="D23" s="167">
        <v>102</v>
      </c>
      <c r="E23" s="166">
        <v>0.51</v>
      </c>
      <c r="F23" s="11">
        <v>0.51</v>
      </c>
      <c r="G23" s="11">
        <v>0.51</v>
      </c>
      <c r="H23" s="11">
        <v>0.51</v>
      </c>
      <c r="I23" s="199">
        <v>0.51</v>
      </c>
      <c r="J23" s="121"/>
      <c r="K23" s="166">
        <v>26.22</v>
      </c>
      <c r="L23" s="165">
        <v>26.19</v>
      </c>
      <c r="M23" s="41" t="s">
        <v>20</v>
      </c>
      <c r="N23" s="164"/>
      <c r="O23" s="45"/>
      <c r="P23" s="23"/>
      <c r="Q23" s="123"/>
      <c r="R23" s="162">
        <v>18.3</v>
      </c>
      <c r="S23" s="36">
        <f t="shared" si="0"/>
        <v>13.424452353867684</v>
      </c>
      <c r="T23" s="35">
        <v>3</v>
      </c>
      <c r="V23" s="35">
        <f t="shared" si="4"/>
        <v>165</v>
      </c>
      <c r="W23" s="160">
        <f t="shared" si="1"/>
        <v>0</v>
      </c>
      <c r="X23" s="35">
        <f>IF(OR(ABS(E23-B!$C$6)&gt;(B!$C$6*0.1),ABS(F23-B!$C$6)&gt;(B!$C$6*0.1),ABS(G23-B!$C$6)&gt;(B!$C$6*0.1),ABS(H23-B!$C$6)&gt;(B!$C$6*0.1),ABS(I23-B!$C$6)&gt;(B!$C$6*0.1)),1,0)</f>
        <v>0</v>
      </c>
      <c r="Y23" s="35">
        <v>0</v>
      </c>
      <c r="Z23" s="34">
        <v>0</v>
      </c>
      <c r="AA23" s="33">
        <f t="shared" si="2"/>
        <v>0</v>
      </c>
      <c r="AB23" s="198"/>
      <c r="AC23" s="1"/>
      <c r="AD23" s="1"/>
      <c r="AE23" s="1"/>
    </row>
    <row r="24" spans="1:31">
      <c r="A24" s="12">
        <f t="shared" si="3"/>
        <v>166</v>
      </c>
      <c r="B24" s="123"/>
      <c r="C24" s="168">
        <v>102</v>
      </c>
      <c r="D24" s="167">
        <v>102</v>
      </c>
      <c r="E24" s="166">
        <v>0.51</v>
      </c>
      <c r="F24" s="11">
        <v>0.51</v>
      </c>
      <c r="G24" s="11">
        <v>0.51</v>
      </c>
      <c r="H24" s="11">
        <v>0.51</v>
      </c>
      <c r="I24" s="199">
        <v>0.51</v>
      </c>
      <c r="J24" s="121"/>
      <c r="K24" s="166">
        <v>26.15</v>
      </c>
      <c r="L24" s="165">
        <v>26.17</v>
      </c>
      <c r="M24" s="41"/>
      <c r="N24" s="164"/>
      <c r="O24" s="45"/>
      <c r="P24" s="23"/>
      <c r="Q24" s="123"/>
      <c r="R24" s="162">
        <v>18.399999999999999</v>
      </c>
      <c r="S24" s="36">
        <f t="shared" si="0"/>
        <v>13.521028726895205</v>
      </c>
      <c r="T24" s="35">
        <v>3</v>
      </c>
      <c r="V24" s="35">
        <f t="shared" si="4"/>
        <v>166</v>
      </c>
      <c r="W24" s="160">
        <f t="shared" si="1"/>
        <v>0</v>
      </c>
      <c r="X24" s="35">
        <f>IF(OR(ABS(E24-B!$C$6)&gt;(B!$C$6*0.1),ABS(F24-B!$C$6)&gt;(B!$C$6*0.1),ABS(G24-B!$C$6)&gt;(B!$C$6*0.1),ABS(H24-B!$C$6)&gt;(B!$C$6*0.1),ABS(I24-B!$C$6)&gt;(B!$C$6*0.1)),1,0)</f>
        <v>0</v>
      </c>
      <c r="Y24" s="35">
        <v>0</v>
      </c>
      <c r="Z24" s="34">
        <v>0</v>
      </c>
      <c r="AA24" s="33">
        <f t="shared" si="2"/>
        <v>0</v>
      </c>
      <c r="AB24" s="198"/>
      <c r="AC24" s="1"/>
      <c r="AD24" s="1"/>
      <c r="AE24" s="1"/>
    </row>
    <row r="25" spans="1:31">
      <c r="A25" s="12">
        <f t="shared" si="3"/>
        <v>167</v>
      </c>
      <c r="B25" s="123"/>
      <c r="C25" s="168">
        <v>102</v>
      </c>
      <c r="D25" s="167">
        <v>102</v>
      </c>
      <c r="E25" s="166">
        <v>0.51</v>
      </c>
      <c r="F25" s="11">
        <v>0.51</v>
      </c>
      <c r="G25" s="11">
        <v>0.51</v>
      </c>
      <c r="H25" s="11">
        <v>0.51</v>
      </c>
      <c r="I25" s="199">
        <v>0.51</v>
      </c>
      <c r="J25" s="121"/>
      <c r="K25" s="166">
        <v>26.24</v>
      </c>
      <c r="L25" s="165">
        <v>26.19</v>
      </c>
      <c r="M25" s="41" t="s">
        <v>20</v>
      </c>
      <c r="N25" s="164"/>
      <c r="O25" s="45"/>
      <c r="P25" s="23"/>
      <c r="Q25" s="123"/>
      <c r="R25" s="162">
        <v>18.399999999999999</v>
      </c>
      <c r="S25" s="36">
        <f t="shared" si="0"/>
        <v>13.492661128955886</v>
      </c>
      <c r="T25" s="35">
        <v>3</v>
      </c>
      <c r="V25" s="35">
        <f t="shared" si="4"/>
        <v>167</v>
      </c>
      <c r="W25" s="160">
        <f t="shared" si="1"/>
        <v>0</v>
      </c>
      <c r="X25" s="35">
        <f>IF(OR(ABS(E25-B!$C$6)&gt;(B!$C$6*0.1),ABS(F25-B!$C$6)&gt;(B!$C$6*0.1),ABS(G25-B!$C$6)&gt;(B!$C$6*0.1),ABS(H25-B!$C$6)&gt;(B!$C$6*0.1),ABS(I25-B!$C$6)&gt;(B!$C$6*0.1)),1,0)</f>
        <v>0</v>
      </c>
      <c r="Y25" s="35">
        <v>0</v>
      </c>
      <c r="Z25" s="34">
        <v>0</v>
      </c>
      <c r="AA25" s="33">
        <f t="shared" si="2"/>
        <v>0</v>
      </c>
      <c r="AB25" s="198"/>
      <c r="AC25" s="1"/>
      <c r="AD25" s="1"/>
      <c r="AE25" s="1"/>
    </row>
    <row r="26" spans="1:31">
      <c r="A26" s="12">
        <f t="shared" si="3"/>
        <v>168</v>
      </c>
      <c r="B26" s="123"/>
      <c r="C26" s="168">
        <v>102</v>
      </c>
      <c r="D26" s="167">
        <v>102</v>
      </c>
      <c r="E26" s="166">
        <v>0.5</v>
      </c>
      <c r="F26" s="11">
        <v>0.5</v>
      </c>
      <c r="G26" s="11">
        <v>0.5</v>
      </c>
      <c r="H26" s="11">
        <v>0.5</v>
      </c>
      <c r="I26" s="199">
        <v>0.5</v>
      </c>
      <c r="J26" s="121"/>
      <c r="K26" s="166">
        <v>26.18</v>
      </c>
      <c r="L26" s="165">
        <v>26.14</v>
      </c>
      <c r="M26" s="41"/>
      <c r="N26" s="164" t="s">
        <v>20</v>
      </c>
      <c r="O26" s="45"/>
      <c r="P26" s="23"/>
      <c r="Q26" s="163" t="s">
        <v>21</v>
      </c>
      <c r="R26" s="162">
        <v>17.8</v>
      </c>
      <c r="S26" s="36">
        <f t="shared" si="0"/>
        <v>13.341728128560293</v>
      </c>
      <c r="T26" s="35">
        <v>3</v>
      </c>
      <c r="V26" s="35">
        <f t="shared" si="4"/>
        <v>168</v>
      </c>
      <c r="W26" s="160">
        <f t="shared" si="1"/>
        <v>0</v>
      </c>
      <c r="X26" s="35">
        <f>IF(OR(ABS(E26-B!$C$6)&gt;(B!$C$6*0.1),ABS(F26-B!$C$6)&gt;(B!$C$6*0.1),ABS(G26-B!$C$6)&gt;(B!$C$6*0.1),ABS(H26-B!$C$6)&gt;(B!$C$6*0.1),ABS(I26-B!$C$6)&gt;(B!$C$6*0.1)),1,0)</f>
        <v>0</v>
      </c>
      <c r="Y26" s="35">
        <v>0</v>
      </c>
      <c r="Z26" s="34">
        <v>0</v>
      </c>
      <c r="AA26" s="33">
        <f t="shared" si="2"/>
        <v>0</v>
      </c>
      <c r="AB26" s="198"/>
      <c r="AC26" s="1"/>
      <c r="AD26" s="1"/>
      <c r="AE26" s="1"/>
    </row>
    <row r="27" spans="1:31">
      <c r="A27" s="12">
        <f t="shared" si="3"/>
        <v>169</v>
      </c>
      <c r="B27" s="123"/>
      <c r="C27" s="168">
        <v>102</v>
      </c>
      <c r="D27" s="167">
        <v>102</v>
      </c>
      <c r="E27" s="166">
        <v>0.52</v>
      </c>
      <c r="F27" s="11">
        <v>0.52</v>
      </c>
      <c r="G27" s="11">
        <v>0.52</v>
      </c>
      <c r="H27" s="11">
        <v>0.53</v>
      </c>
      <c r="I27" s="199">
        <v>0.53</v>
      </c>
      <c r="J27" s="121"/>
      <c r="K27" s="166">
        <v>26.15</v>
      </c>
      <c r="L27" s="165">
        <v>26.15</v>
      </c>
      <c r="M27" s="41" t="s">
        <v>20</v>
      </c>
      <c r="N27" s="164"/>
      <c r="O27" s="45"/>
      <c r="P27" s="23"/>
      <c r="Q27" s="123"/>
      <c r="R27" s="162">
        <v>19</v>
      </c>
      <c r="S27" s="36">
        <f t="shared" si="0"/>
        <v>13.594099645608976</v>
      </c>
      <c r="T27" s="35">
        <v>3</v>
      </c>
      <c r="V27" s="35">
        <f t="shared" si="4"/>
        <v>169</v>
      </c>
      <c r="W27" s="160">
        <f t="shared" si="1"/>
        <v>1.0000000000000009E-2</v>
      </c>
      <c r="X27" s="35">
        <f>IF(OR(ABS(E27-B!$C$6)&gt;(B!$C$6*0.1),ABS(F27-B!$C$6)&gt;(B!$C$6*0.1),ABS(G27-B!$C$6)&gt;(B!$C$6*0.1),ABS(H27-B!$C$6)&gt;(B!$C$6*0.1),ABS(I27-B!$C$6)&gt;(B!$C$6*0.1)),1,0)</f>
        <v>0</v>
      </c>
      <c r="Y27" s="35">
        <v>0</v>
      </c>
      <c r="Z27" s="34">
        <v>0</v>
      </c>
      <c r="AA27" s="33">
        <f t="shared" si="2"/>
        <v>0</v>
      </c>
      <c r="AB27" s="198"/>
      <c r="AC27" s="1"/>
      <c r="AD27" s="1"/>
      <c r="AE27" s="1"/>
    </row>
    <row r="28" spans="1:31">
      <c r="A28" s="12">
        <f t="shared" si="3"/>
        <v>170</v>
      </c>
      <c r="B28" s="123"/>
      <c r="C28" s="168">
        <v>102</v>
      </c>
      <c r="D28" s="167">
        <v>102</v>
      </c>
      <c r="E28" s="166">
        <v>0.5</v>
      </c>
      <c r="F28" s="11">
        <v>0.5</v>
      </c>
      <c r="G28" s="11">
        <v>0.5</v>
      </c>
      <c r="H28" s="11">
        <v>0.5</v>
      </c>
      <c r="I28" s="199">
        <v>0.5</v>
      </c>
      <c r="J28" s="121"/>
      <c r="K28" s="166">
        <v>26.04</v>
      </c>
      <c r="L28" s="165">
        <v>26.25</v>
      </c>
      <c r="M28" s="41"/>
      <c r="N28" s="164" t="s">
        <v>20</v>
      </c>
      <c r="O28" s="45"/>
      <c r="P28" s="23"/>
      <c r="Q28" s="123"/>
      <c r="R28" s="162">
        <v>17.8</v>
      </c>
      <c r="S28" s="36">
        <f t="shared" si="0"/>
        <v>13.349382591055162</v>
      </c>
      <c r="T28" s="35">
        <v>3</v>
      </c>
      <c r="V28" s="35">
        <f t="shared" si="4"/>
        <v>170</v>
      </c>
      <c r="W28" s="160">
        <f t="shared" si="1"/>
        <v>0</v>
      </c>
      <c r="X28" s="35">
        <f>IF(OR(ABS(E28-B!$C$6)&gt;(B!$C$6*0.1),ABS(F28-B!$C$6)&gt;(B!$C$6*0.1),ABS(G28-B!$C$6)&gt;(B!$C$6*0.1),ABS(H28-B!$C$6)&gt;(B!$C$6*0.1),ABS(I28-B!$C$6)&gt;(B!$C$6*0.1)),1,0)</f>
        <v>0</v>
      </c>
      <c r="Y28" s="35">
        <v>0</v>
      </c>
      <c r="Z28" s="34">
        <v>0</v>
      </c>
      <c r="AA28" s="33">
        <f t="shared" si="2"/>
        <v>0</v>
      </c>
      <c r="AB28" s="198"/>
      <c r="AC28" s="1"/>
      <c r="AD28" s="1"/>
      <c r="AE28" s="1"/>
    </row>
    <row r="29" spans="1:31">
      <c r="A29" s="12">
        <f t="shared" si="3"/>
        <v>171</v>
      </c>
      <c r="B29" s="123"/>
      <c r="C29" s="168">
        <v>102</v>
      </c>
      <c r="D29" s="167">
        <v>102</v>
      </c>
      <c r="E29" s="166">
        <v>0.5</v>
      </c>
      <c r="F29" s="11">
        <v>0.5</v>
      </c>
      <c r="G29" s="11">
        <v>0.5</v>
      </c>
      <c r="H29" s="11">
        <v>0.5</v>
      </c>
      <c r="I29" s="199">
        <v>0.49</v>
      </c>
      <c r="J29" s="121"/>
      <c r="K29" s="166">
        <v>26.21</v>
      </c>
      <c r="L29" s="165">
        <v>26.13</v>
      </c>
      <c r="M29" s="41"/>
      <c r="N29" s="164" t="s">
        <v>20</v>
      </c>
      <c r="O29" s="45"/>
      <c r="P29" s="23"/>
      <c r="Q29" s="163" t="s">
        <v>19</v>
      </c>
      <c r="R29" s="162">
        <v>18</v>
      </c>
      <c r="S29" s="36">
        <f t="shared" si="0"/>
        <v>13.540642373490453</v>
      </c>
      <c r="T29" s="35">
        <v>3</v>
      </c>
      <c r="V29" s="35">
        <f t="shared" si="4"/>
        <v>171</v>
      </c>
      <c r="W29" s="160">
        <f t="shared" si="1"/>
        <v>1.0000000000000009E-2</v>
      </c>
      <c r="X29" s="35">
        <f>IF(OR(ABS(E29-B!$C$6)&gt;(B!$C$6*0.1),ABS(F29-B!$C$6)&gt;(B!$C$6*0.1),ABS(G29-B!$C$6)&gt;(B!$C$6*0.1),ABS(H29-B!$C$6)&gt;(B!$C$6*0.1),ABS(I29-B!$C$6)&gt;(B!$C$6*0.1)),1,0)</f>
        <v>0</v>
      </c>
      <c r="Y29" s="35">
        <v>0</v>
      </c>
      <c r="Z29" s="34">
        <v>0</v>
      </c>
      <c r="AA29" s="33">
        <f t="shared" si="2"/>
        <v>0</v>
      </c>
      <c r="AB29" s="198"/>
      <c r="AC29" s="1"/>
      <c r="AD29" s="1"/>
      <c r="AE29" s="1"/>
    </row>
    <row r="30" spans="1:31">
      <c r="A30" s="44">
        <f t="shared" si="3"/>
        <v>172</v>
      </c>
      <c r="B30" s="123"/>
      <c r="C30" s="168">
        <v>102</v>
      </c>
      <c r="D30" s="167">
        <v>102</v>
      </c>
      <c r="E30" s="202">
        <v>0.49</v>
      </c>
      <c r="F30" s="201">
        <v>0.51</v>
      </c>
      <c r="G30" s="201">
        <v>0.5</v>
      </c>
      <c r="H30" s="201">
        <v>0.51</v>
      </c>
      <c r="I30" s="201">
        <v>0.51</v>
      </c>
      <c r="J30" s="121"/>
      <c r="K30" s="166">
        <v>26.08</v>
      </c>
      <c r="L30" s="165">
        <v>26.13</v>
      </c>
      <c r="M30" s="41" t="s">
        <v>22</v>
      </c>
      <c r="N30" s="164"/>
      <c r="O30" s="45"/>
      <c r="P30" s="23"/>
      <c r="Q30" s="163" t="s">
        <v>19</v>
      </c>
      <c r="R30" s="162">
        <v>18.100000000000001</v>
      </c>
      <c r="S30" s="36">
        <f t="shared" si="0"/>
        <v>13.487273647035698</v>
      </c>
      <c r="T30" s="35">
        <v>3</v>
      </c>
      <c r="V30" s="172">
        <f t="shared" si="4"/>
        <v>172</v>
      </c>
      <c r="W30" s="160">
        <f t="shared" si="1"/>
        <v>2.0000000000000018E-2</v>
      </c>
      <c r="X30" s="35">
        <f>IF(OR(ABS(E30-B!$C$6)&gt;(B!$C$6*0.1),ABS(F30-B!$C$6)&gt;(B!$C$6*0.1),ABS(G30-B!$C$6)&gt;(B!$C$6*0.1),ABS(H30-B!$C$6)&gt;(B!$C$6*0.1),ABS(I30-B!$C$6)&gt;(B!$C$6*0.1)),1,0)</f>
        <v>0</v>
      </c>
      <c r="Y30" s="35">
        <v>0</v>
      </c>
      <c r="Z30" s="34">
        <v>0</v>
      </c>
      <c r="AA30" s="33">
        <f t="shared" si="2"/>
        <v>1</v>
      </c>
      <c r="AB30" s="200" t="s">
        <v>68</v>
      </c>
      <c r="AC30" s="79">
        <v>0.47</v>
      </c>
      <c r="AD30" s="79">
        <v>0.5</v>
      </c>
      <c r="AE30" s="79">
        <v>0.5</v>
      </c>
    </row>
    <row r="31" spans="1:31">
      <c r="A31" s="12">
        <f t="shared" si="3"/>
        <v>173</v>
      </c>
      <c r="B31" s="123"/>
      <c r="C31" s="168">
        <v>102</v>
      </c>
      <c r="D31" s="167">
        <v>102</v>
      </c>
      <c r="E31" s="166">
        <v>0.52</v>
      </c>
      <c r="F31" s="11">
        <v>0.53</v>
      </c>
      <c r="G31" s="11">
        <v>0.53</v>
      </c>
      <c r="H31" s="11">
        <v>0.53</v>
      </c>
      <c r="I31" s="199">
        <v>0.52</v>
      </c>
      <c r="J31" s="121"/>
      <c r="K31" s="166">
        <v>26.19</v>
      </c>
      <c r="L31" s="165">
        <v>26.15</v>
      </c>
      <c r="M31" s="41" t="s">
        <v>22</v>
      </c>
      <c r="N31" s="164"/>
      <c r="O31" s="45"/>
      <c r="P31" s="23"/>
      <c r="Q31" s="123"/>
      <c r="R31" s="162">
        <v>18.899999999999999</v>
      </c>
      <c r="S31" s="36">
        <f t="shared" si="0"/>
        <v>13.460840108551633</v>
      </c>
      <c r="T31" s="35">
        <v>3</v>
      </c>
      <c r="V31" s="35">
        <f t="shared" si="4"/>
        <v>173</v>
      </c>
      <c r="W31" s="160">
        <f t="shared" si="1"/>
        <v>1.0000000000000009E-2</v>
      </c>
      <c r="X31" s="35">
        <f>IF(OR(ABS(E31-B!$C$6)&gt;(B!$C$6*0.1),ABS(F31-B!$C$6)&gt;(B!$C$6*0.1),ABS(G31-B!$C$6)&gt;(B!$C$6*0.1),ABS(H31-B!$C$6)&gt;(B!$C$6*0.1),ABS(I31-B!$C$6)&gt;(B!$C$6*0.1)),1,0)</f>
        <v>0</v>
      </c>
      <c r="Y31" s="35">
        <v>0</v>
      </c>
      <c r="Z31" s="34">
        <v>0</v>
      </c>
      <c r="AA31" s="33">
        <f t="shared" si="2"/>
        <v>1</v>
      </c>
      <c r="AB31" s="198"/>
      <c r="AC31" s="1"/>
      <c r="AD31" s="1"/>
      <c r="AE31" s="1"/>
    </row>
    <row r="32" spans="1:31">
      <c r="A32" s="12">
        <f t="shared" si="3"/>
        <v>174</v>
      </c>
      <c r="B32" s="123"/>
      <c r="C32" s="168">
        <v>102</v>
      </c>
      <c r="D32" s="167">
        <v>102</v>
      </c>
      <c r="E32" s="166">
        <v>0.52</v>
      </c>
      <c r="F32" s="11">
        <v>0.52</v>
      </c>
      <c r="G32" s="11">
        <v>0.52</v>
      </c>
      <c r="H32" s="11">
        <v>0.51</v>
      </c>
      <c r="I32" s="199">
        <v>0.52</v>
      </c>
      <c r="J32" s="121"/>
      <c r="K32" s="166">
        <v>26.19</v>
      </c>
      <c r="L32" s="165">
        <v>26.11</v>
      </c>
      <c r="M32" s="41" t="s">
        <v>22</v>
      </c>
      <c r="N32" s="164"/>
      <c r="O32" s="45"/>
      <c r="P32" s="23"/>
      <c r="Q32" s="163" t="s">
        <v>21</v>
      </c>
      <c r="R32" s="162">
        <v>18.600000000000001</v>
      </c>
      <c r="S32" s="36">
        <f t="shared" si="0"/>
        <v>13.462053727490687</v>
      </c>
      <c r="T32" s="35">
        <v>3</v>
      </c>
      <c r="V32" s="35">
        <f t="shared" si="4"/>
        <v>174</v>
      </c>
      <c r="W32" s="160">
        <f t="shared" si="1"/>
        <v>1.0000000000000009E-2</v>
      </c>
      <c r="X32" s="35">
        <f>IF(OR(ABS(E32-B!$C$6)&gt;(B!$C$6*0.1),ABS(F32-B!$C$6)&gt;(B!$C$6*0.1),ABS(G32-B!$C$6)&gt;(B!$C$6*0.1),ABS(H32-B!$C$6)&gt;(B!$C$6*0.1),ABS(I32-B!$C$6)&gt;(B!$C$6*0.1)),1,0)</f>
        <v>0</v>
      </c>
      <c r="Y32" s="35">
        <v>0</v>
      </c>
      <c r="Z32" s="34">
        <v>0</v>
      </c>
      <c r="AA32" s="33">
        <f t="shared" si="2"/>
        <v>1</v>
      </c>
      <c r="AB32" s="198"/>
      <c r="AC32" s="1"/>
      <c r="AD32" s="1"/>
      <c r="AE32" s="1"/>
    </row>
    <row r="33" spans="1:31">
      <c r="A33" s="12">
        <f t="shared" si="3"/>
        <v>175</v>
      </c>
      <c r="B33" s="123"/>
      <c r="C33" s="168">
        <v>102</v>
      </c>
      <c r="D33" s="167">
        <v>102</v>
      </c>
      <c r="E33" s="166">
        <v>0.51</v>
      </c>
      <c r="F33" s="11">
        <v>0.51</v>
      </c>
      <c r="G33" s="11">
        <v>0.51</v>
      </c>
      <c r="H33" s="11">
        <v>0.51</v>
      </c>
      <c r="I33" s="199">
        <v>0.51</v>
      </c>
      <c r="J33" s="121"/>
      <c r="K33" s="166">
        <v>26.17</v>
      </c>
      <c r="L33" s="165">
        <v>26.2</v>
      </c>
      <c r="M33" s="41"/>
      <c r="N33" s="164"/>
      <c r="O33" s="45"/>
      <c r="P33" s="23"/>
      <c r="Q33" s="163" t="s">
        <v>19</v>
      </c>
      <c r="R33" s="162">
        <v>18.399999999999999</v>
      </c>
      <c r="S33" s="36">
        <f t="shared" si="0"/>
        <v>13.508119591200249</v>
      </c>
      <c r="T33" s="35">
        <v>3</v>
      </c>
      <c r="V33" s="35">
        <f t="shared" si="4"/>
        <v>175</v>
      </c>
      <c r="W33" s="160">
        <f t="shared" si="1"/>
        <v>0</v>
      </c>
      <c r="X33" s="35">
        <f>IF(OR(ABS(E33-B!$C$6)&gt;(B!$C$6*0.1),ABS(F33-B!$C$6)&gt;(B!$C$6*0.1),ABS(G33-B!$C$6)&gt;(B!$C$6*0.1),ABS(H33-B!$C$6)&gt;(B!$C$6*0.1),ABS(I33-B!$C$6)&gt;(B!$C$6*0.1)),1,0)</f>
        <v>0</v>
      </c>
      <c r="Y33" s="35">
        <v>0</v>
      </c>
      <c r="Z33" s="34">
        <v>0</v>
      </c>
      <c r="AA33" s="33">
        <f t="shared" si="2"/>
        <v>0</v>
      </c>
      <c r="AB33" s="198"/>
      <c r="AC33" s="1"/>
      <c r="AD33" s="1"/>
      <c r="AE33" s="1"/>
    </row>
    <row r="34" spans="1:31">
      <c r="A34" s="12">
        <f t="shared" si="3"/>
        <v>176</v>
      </c>
      <c r="B34" s="123"/>
      <c r="C34" s="168">
        <v>102</v>
      </c>
      <c r="D34" s="167">
        <v>102</v>
      </c>
      <c r="E34" s="166">
        <v>0.52</v>
      </c>
      <c r="F34" s="11">
        <v>0.52</v>
      </c>
      <c r="G34" s="11">
        <v>0.51</v>
      </c>
      <c r="H34" s="11">
        <v>0.52</v>
      </c>
      <c r="I34" s="199">
        <v>0.52</v>
      </c>
      <c r="J34" s="121"/>
      <c r="K34" s="166">
        <v>26.18</v>
      </c>
      <c r="L34" s="165">
        <v>26.17</v>
      </c>
      <c r="M34" s="41" t="s">
        <v>20</v>
      </c>
      <c r="N34" s="164"/>
      <c r="O34" s="45"/>
      <c r="P34" s="23"/>
      <c r="Q34" s="123"/>
      <c r="R34" s="162">
        <v>18.5</v>
      </c>
      <c r="S34" s="36">
        <f t="shared" si="0"/>
        <v>13.376888482231481</v>
      </c>
      <c r="T34" s="35">
        <v>3</v>
      </c>
      <c r="V34" s="35">
        <f t="shared" si="4"/>
        <v>176</v>
      </c>
      <c r="W34" s="160">
        <f t="shared" si="1"/>
        <v>1.0000000000000009E-2</v>
      </c>
      <c r="X34" s="35">
        <f>IF(OR(ABS(E34-B!$C$6)&gt;(B!$C$6*0.1),ABS(F34-B!$C$6)&gt;(B!$C$6*0.1),ABS(G34-B!$C$6)&gt;(B!$C$6*0.1),ABS(H34-B!$C$6)&gt;(B!$C$6*0.1),ABS(I34-B!$C$6)&gt;(B!$C$6*0.1)),1,0)</f>
        <v>0</v>
      </c>
      <c r="Y34" s="35">
        <v>0</v>
      </c>
      <c r="Z34" s="34">
        <v>0</v>
      </c>
      <c r="AA34" s="33">
        <f t="shared" si="2"/>
        <v>0</v>
      </c>
      <c r="AB34" s="198"/>
      <c r="AC34" s="1"/>
      <c r="AD34" s="1"/>
      <c r="AE34" s="1"/>
    </row>
    <row r="35" spans="1:31">
      <c r="A35" s="12">
        <f t="shared" si="3"/>
        <v>177</v>
      </c>
      <c r="B35" s="123"/>
      <c r="C35" s="168">
        <v>102</v>
      </c>
      <c r="D35" s="167">
        <v>102</v>
      </c>
      <c r="E35" s="166">
        <v>0.49</v>
      </c>
      <c r="F35" s="11">
        <v>0.49</v>
      </c>
      <c r="G35" s="11">
        <v>0.5</v>
      </c>
      <c r="H35" s="11">
        <v>0.49</v>
      </c>
      <c r="I35" s="199">
        <v>0.49</v>
      </c>
      <c r="J35" s="121"/>
      <c r="K35" s="166">
        <v>26.25</v>
      </c>
      <c r="L35" s="165">
        <v>26.13</v>
      </c>
      <c r="M35" s="41" t="s">
        <v>20</v>
      </c>
      <c r="N35" s="164" t="s">
        <v>20</v>
      </c>
      <c r="O35" s="45"/>
      <c r="P35" s="23"/>
      <c r="Q35" s="123"/>
      <c r="R35" s="162">
        <v>17.600000000000001</v>
      </c>
      <c r="S35" s="36">
        <f t="shared" si="0"/>
        <v>13.390965614617629</v>
      </c>
      <c r="T35" s="35">
        <v>3</v>
      </c>
      <c r="V35" s="35">
        <f t="shared" si="4"/>
        <v>177</v>
      </c>
      <c r="W35" s="160">
        <f t="shared" si="1"/>
        <v>1.0000000000000009E-2</v>
      </c>
      <c r="X35" s="35">
        <f>IF(OR(ABS(E35-B!$C$6)&gt;(B!$C$6*0.1),ABS(F35-B!$C$6)&gt;(B!$C$6*0.1),ABS(G35-B!$C$6)&gt;(B!$C$6*0.1),ABS(H35-B!$C$6)&gt;(B!$C$6*0.1),ABS(I35-B!$C$6)&gt;(B!$C$6*0.1)),1,0)</f>
        <v>0</v>
      </c>
      <c r="Y35" s="35">
        <v>0</v>
      </c>
      <c r="Z35" s="34">
        <v>0</v>
      </c>
      <c r="AA35" s="33">
        <f t="shared" si="2"/>
        <v>0</v>
      </c>
      <c r="AB35" s="198"/>
      <c r="AC35" s="1"/>
      <c r="AD35" s="1"/>
      <c r="AE35" s="1"/>
    </row>
    <row r="36" spans="1:31">
      <c r="A36" s="44">
        <f t="shared" si="3"/>
        <v>178</v>
      </c>
      <c r="B36" s="123"/>
      <c r="C36" s="168">
        <v>103</v>
      </c>
      <c r="D36" s="167">
        <v>103</v>
      </c>
      <c r="E36" s="166">
        <v>0.53</v>
      </c>
      <c r="F36" s="11">
        <v>0.53</v>
      </c>
      <c r="G36" s="11">
        <v>0.53</v>
      </c>
      <c r="H36" s="11">
        <v>0.53</v>
      </c>
      <c r="I36" s="199">
        <v>0.54</v>
      </c>
      <c r="J36" s="121"/>
      <c r="K36" s="166">
        <v>26.17</v>
      </c>
      <c r="L36" s="165">
        <v>26.2</v>
      </c>
      <c r="M36" s="41"/>
      <c r="N36" s="164"/>
      <c r="O36" s="45"/>
      <c r="P36" s="23"/>
      <c r="Q36" s="123"/>
      <c r="R36" s="162">
        <v>19</v>
      </c>
      <c r="S36" s="36">
        <f t="shared" si="0"/>
        <v>13.241956769248571</v>
      </c>
      <c r="T36" s="35">
        <v>3</v>
      </c>
      <c r="V36" s="172">
        <f t="shared" si="4"/>
        <v>178</v>
      </c>
      <c r="W36" s="160">
        <f t="shared" si="1"/>
        <v>1.0000000000000009E-2</v>
      </c>
      <c r="X36" s="35">
        <f>IF(OR(ABS(E36-B!$C$6)&gt;(B!$C$6*0.1),ABS(F36-B!$C$6)&gt;(B!$C$6*0.1),ABS(G36-B!$C$6)&gt;(B!$C$6*0.1),ABS(H36-B!$C$6)&gt;(B!$C$6*0.1),ABS(I36-B!$C$6)&gt;(B!$C$6*0.1)),1,0)</f>
        <v>0</v>
      </c>
      <c r="Y36" s="35">
        <v>0</v>
      </c>
      <c r="Z36" s="34">
        <v>0</v>
      </c>
      <c r="AA36" s="33">
        <f t="shared" si="2"/>
        <v>0</v>
      </c>
      <c r="AB36" s="200" t="s">
        <v>67</v>
      </c>
      <c r="AC36" s="1"/>
      <c r="AD36" s="1"/>
      <c r="AE36" s="1"/>
    </row>
    <row r="37" spans="1:31">
      <c r="A37" s="12">
        <f t="shared" si="3"/>
        <v>179</v>
      </c>
      <c r="B37" s="123"/>
      <c r="C37" s="168">
        <v>102</v>
      </c>
      <c r="D37" s="167">
        <v>102</v>
      </c>
      <c r="E37" s="166">
        <v>0.53</v>
      </c>
      <c r="F37" s="11">
        <v>0.53</v>
      </c>
      <c r="G37" s="11">
        <v>0.52</v>
      </c>
      <c r="H37" s="11">
        <v>0.52</v>
      </c>
      <c r="I37" s="199">
        <v>0.52</v>
      </c>
      <c r="J37" s="121"/>
      <c r="K37" s="166">
        <v>26.26</v>
      </c>
      <c r="L37" s="165">
        <v>26.2</v>
      </c>
      <c r="M37" s="41"/>
      <c r="N37" s="164" t="s">
        <v>20</v>
      </c>
      <c r="O37" s="45"/>
      <c r="P37" s="23"/>
      <c r="Q37" s="123"/>
      <c r="R37" s="162">
        <v>18.3</v>
      </c>
      <c r="S37" s="36">
        <f t="shared" si="0"/>
        <v>13.053330687858315</v>
      </c>
      <c r="T37" s="35">
        <v>3</v>
      </c>
      <c r="V37" s="35">
        <f t="shared" si="4"/>
        <v>179</v>
      </c>
      <c r="W37" s="160">
        <f t="shared" si="1"/>
        <v>1.0000000000000009E-2</v>
      </c>
      <c r="X37" s="35">
        <f>IF(OR(ABS(E37-B!$C$6)&gt;(B!$C$6*0.1),ABS(F37-B!$C$6)&gt;(B!$C$6*0.1),ABS(G37-B!$C$6)&gt;(B!$C$6*0.1),ABS(H37-B!$C$6)&gt;(B!$C$6*0.1),ABS(I37-B!$C$6)&gt;(B!$C$6*0.1)),1,0)</f>
        <v>0</v>
      </c>
      <c r="Y37" s="35">
        <v>0</v>
      </c>
      <c r="Z37" s="34">
        <v>0</v>
      </c>
      <c r="AA37" s="33">
        <f t="shared" si="2"/>
        <v>0</v>
      </c>
      <c r="AB37" s="198"/>
      <c r="AC37" s="1"/>
      <c r="AD37" s="1"/>
      <c r="AE37" s="1"/>
    </row>
    <row r="38" spans="1:31">
      <c r="A38" s="12">
        <f t="shared" si="3"/>
        <v>180</v>
      </c>
      <c r="B38" s="123"/>
      <c r="C38" s="168">
        <v>102</v>
      </c>
      <c r="D38" s="167">
        <v>102</v>
      </c>
      <c r="E38" s="166">
        <v>0.53</v>
      </c>
      <c r="F38" s="11">
        <v>0.53</v>
      </c>
      <c r="G38" s="11">
        <v>0.53</v>
      </c>
      <c r="H38" s="11">
        <v>0.53</v>
      </c>
      <c r="I38" s="199">
        <v>0.53</v>
      </c>
      <c r="J38" s="121"/>
      <c r="K38" s="166">
        <v>26.17</v>
      </c>
      <c r="L38" s="165">
        <v>26.22</v>
      </c>
      <c r="M38" s="41" t="s">
        <v>20</v>
      </c>
      <c r="N38" s="164"/>
      <c r="O38" s="45"/>
      <c r="P38" s="23"/>
      <c r="Q38" s="123"/>
      <c r="R38" s="162">
        <v>18.7</v>
      </c>
      <c r="S38" s="36">
        <f t="shared" si="0"/>
        <v>13.205266260184558</v>
      </c>
      <c r="T38" s="35">
        <v>3</v>
      </c>
      <c r="V38" s="35">
        <f t="shared" si="4"/>
        <v>180</v>
      </c>
      <c r="W38" s="160">
        <f t="shared" si="1"/>
        <v>0</v>
      </c>
      <c r="X38" s="35">
        <f>IF(OR(ABS(E38-B!$C$6)&gt;(B!$C$6*0.1),ABS(F38-B!$C$6)&gt;(B!$C$6*0.1),ABS(G38-B!$C$6)&gt;(B!$C$6*0.1),ABS(H38-B!$C$6)&gt;(B!$C$6*0.1),ABS(I38-B!$C$6)&gt;(B!$C$6*0.1)),1,0)</f>
        <v>0</v>
      </c>
      <c r="Y38" s="35">
        <v>0</v>
      </c>
      <c r="Z38" s="34">
        <v>0</v>
      </c>
      <c r="AA38" s="33">
        <f t="shared" si="2"/>
        <v>0</v>
      </c>
      <c r="AB38" s="198"/>
      <c r="AC38" s="1"/>
      <c r="AD38" s="1"/>
      <c r="AE38" s="1"/>
    </row>
    <row r="39" spans="1:31">
      <c r="A39" s="12">
        <f t="shared" si="3"/>
        <v>181</v>
      </c>
      <c r="B39" s="123"/>
      <c r="C39" s="168">
        <v>102</v>
      </c>
      <c r="D39" s="167">
        <v>102</v>
      </c>
      <c r="E39" s="166">
        <v>0.53</v>
      </c>
      <c r="F39" s="11">
        <v>0.53</v>
      </c>
      <c r="G39" s="11">
        <v>0.53</v>
      </c>
      <c r="H39" s="11">
        <v>0.53</v>
      </c>
      <c r="I39" s="199">
        <v>0.53</v>
      </c>
      <c r="J39" s="121"/>
      <c r="K39" s="166">
        <v>26.18</v>
      </c>
      <c r="L39" s="165">
        <v>26.13</v>
      </c>
      <c r="M39" s="41" t="s">
        <v>22</v>
      </c>
      <c r="N39" s="164"/>
      <c r="O39" s="45"/>
      <c r="P39" s="23"/>
      <c r="Q39" s="123"/>
      <c r="R39" s="162">
        <v>18.7</v>
      </c>
      <c r="S39" s="36">
        <f t="shared" si="0"/>
        <v>13.225461658785491</v>
      </c>
      <c r="T39" s="35">
        <v>3</v>
      </c>
      <c r="V39" s="35">
        <f t="shared" si="4"/>
        <v>181</v>
      </c>
      <c r="W39" s="160">
        <f t="shared" si="1"/>
        <v>0</v>
      </c>
      <c r="X39" s="35">
        <f>IF(OR(ABS(E39-B!$C$6)&gt;(B!$C$6*0.1),ABS(F39-B!$C$6)&gt;(B!$C$6*0.1),ABS(G39-B!$C$6)&gt;(B!$C$6*0.1),ABS(H39-B!$C$6)&gt;(B!$C$6*0.1),ABS(I39-B!$C$6)&gt;(B!$C$6*0.1)),1,0)</f>
        <v>0</v>
      </c>
      <c r="Y39" s="35">
        <v>0</v>
      </c>
      <c r="Z39" s="34">
        <v>0</v>
      </c>
      <c r="AA39" s="33">
        <f t="shared" si="2"/>
        <v>1</v>
      </c>
      <c r="AB39" s="198"/>
      <c r="AC39" s="1"/>
      <c r="AD39" s="1"/>
      <c r="AE39" s="1"/>
    </row>
    <row r="40" spans="1:31">
      <c r="A40" s="12">
        <f t="shared" si="3"/>
        <v>182</v>
      </c>
      <c r="B40" s="123"/>
      <c r="C40" s="168">
        <v>102</v>
      </c>
      <c r="D40" s="167">
        <v>102</v>
      </c>
      <c r="E40" s="166">
        <v>0.51</v>
      </c>
      <c r="F40" s="11">
        <v>0.52</v>
      </c>
      <c r="G40" s="11">
        <v>0.52</v>
      </c>
      <c r="H40" s="11">
        <v>0.51</v>
      </c>
      <c r="I40" s="199">
        <v>0.51</v>
      </c>
      <c r="J40" s="121"/>
      <c r="K40" s="166">
        <v>26.14</v>
      </c>
      <c r="L40" s="165">
        <v>26.24</v>
      </c>
      <c r="M40" s="41"/>
      <c r="N40" s="164" t="s">
        <v>20</v>
      </c>
      <c r="O40" s="45"/>
      <c r="P40" s="23"/>
      <c r="Q40" s="123"/>
      <c r="R40" s="162">
        <v>18.2</v>
      </c>
      <c r="S40" s="36">
        <f t="shared" si="0"/>
        <v>13.254782289035646</v>
      </c>
      <c r="T40" s="35">
        <v>3</v>
      </c>
      <c r="V40" s="35">
        <f t="shared" si="4"/>
        <v>182</v>
      </c>
      <c r="W40" s="160">
        <f t="shared" si="1"/>
        <v>1.0000000000000009E-2</v>
      </c>
      <c r="X40" s="35">
        <f>IF(OR(ABS(E40-B!$C$6)&gt;(B!$C$6*0.1),ABS(F40-B!$C$6)&gt;(B!$C$6*0.1),ABS(G40-B!$C$6)&gt;(B!$C$6*0.1),ABS(H40-B!$C$6)&gt;(B!$C$6*0.1),ABS(I40-B!$C$6)&gt;(B!$C$6*0.1)),1,0)</f>
        <v>0</v>
      </c>
      <c r="Y40" s="35">
        <v>0</v>
      </c>
      <c r="Z40" s="34">
        <v>0</v>
      </c>
      <c r="AA40" s="33">
        <f t="shared" si="2"/>
        <v>0</v>
      </c>
      <c r="AB40" s="198"/>
      <c r="AC40" s="1"/>
      <c r="AD40" s="1"/>
      <c r="AE40" s="1"/>
    </row>
    <row r="41" spans="1:31">
      <c r="A41" s="12">
        <f t="shared" si="3"/>
        <v>183</v>
      </c>
      <c r="B41" s="123"/>
      <c r="C41" s="168">
        <v>102</v>
      </c>
      <c r="D41" s="167">
        <v>102</v>
      </c>
      <c r="E41" s="166">
        <v>0.52</v>
      </c>
      <c r="F41" s="11">
        <v>0.52</v>
      </c>
      <c r="G41" s="11">
        <v>0.51</v>
      </c>
      <c r="H41" s="11">
        <v>0.51</v>
      </c>
      <c r="I41" s="199">
        <v>0.51</v>
      </c>
      <c r="J41" s="121"/>
      <c r="K41" s="166">
        <v>26.11</v>
      </c>
      <c r="L41" s="165">
        <v>26.14</v>
      </c>
      <c r="M41" s="41"/>
      <c r="N41" s="164"/>
      <c r="O41" s="45"/>
      <c r="P41" s="23"/>
      <c r="Q41" s="123"/>
      <c r="R41" s="162">
        <v>18.600000000000001</v>
      </c>
      <c r="S41" s="36">
        <f t="shared" si="0"/>
        <v>13.579799391318346</v>
      </c>
      <c r="T41" s="35">
        <v>3</v>
      </c>
      <c r="V41" s="35">
        <f t="shared" si="4"/>
        <v>183</v>
      </c>
      <c r="W41" s="160">
        <f t="shared" si="1"/>
        <v>1.0000000000000009E-2</v>
      </c>
      <c r="X41" s="35">
        <f>IF(OR(ABS(E41-B!$C$6)&gt;(B!$C$6*0.1),ABS(F41-B!$C$6)&gt;(B!$C$6*0.1),ABS(G41-B!$C$6)&gt;(B!$C$6*0.1),ABS(H41-B!$C$6)&gt;(B!$C$6*0.1),ABS(I41-B!$C$6)&gt;(B!$C$6*0.1)),1,0)</f>
        <v>0</v>
      </c>
      <c r="Y41" s="35">
        <v>0</v>
      </c>
      <c r="Z41" s="34">
        <v>0</v>
      </c>
      <c r="AA41" s="33">
        <f t="shared" si="2"/>
        <v>0</v>
      </c>
      <c r="AB41" s="198"/>
      <c r="AC41" s="1"/>
      <c r="AD41" s="1"/>
      <c r="AE41" s="1"/>
    </row>
    <row r="42" spans="1:31">
      <c r="A42" s="12">
        <f t="shared" si="3"/>
        <v>184</v>
      </c>
      <c r="B42" s="123"/>
      <c r="C42" s="168">
        <v>102</v>
      </c>
      <c r="D42" s="167">
        <v>102</v>
      </c>
      <c r="E42" s="166">
        <v>0.51</v>
      </c>
      <c r="F42" s="11">
        <v>0.51</v>
      </c>
      <c r="G42" s="11">
        <v>0.51</v>
      </c>
      <c r="H42" s="11">
        <v>0.51</v>
      </c>
      <c r="I42" s="199">
        <v>0.5</v>
      </c>
      <c r="J42" s="121"/>
      <c r="K42" s="166">
        <v>26.15</v>
      </c>
      <c r="L42" s="165">
        <v>26.11</v>
      </c>
      <c r="M42" s="41" t="s">
        <v>20</v>
      </c>
      <c r="N42" s="164"/>
      <c r="O42" s="45"/>
      <c r="P42" s="23"/>
      <c r="Q42" s="123"/>
      <c r="R42" s="162">
        <v>18.100000000000001</v>
      </c>
      <c r="S42" s="36">
        <f t="shared" si="0"/>
        <v>13.36827223604546</v>
      </c>
      <c r="T42" s="35">
        <v>3</v>
      </c>
      <c r="V42" s="35">
        <f t="shared" si="4"/>
        <v>184</v>
      </c>
      <c r="W42" s="160">
        <f t="shared" si="1"/>
        <v>1.0000000000000009E-2</v>
      </c>
      <c r="X42" s="35">
        <f>IF(OR(ABS(E42-B!$C$6)&gt;(B!$C$6*0.1),ABS(F42-B!$C$6)&gt;(B!$C$6*0.1),ABS(G42-B!$C$6)&gt;(B!$C$6*0.1),ABS(H42-B!$C$6)&gt;(B!$C$6*0.1),ABS(I42-B!$C$6)&gt;(B!$C$6*0.1)),1,0)</f>
        <v>0</v>
      </c>
      <c r="Y42" s="35">
        <v>0</v>
      </c>
      <c r="Z42" s="34">
        <v>0</v>
      </c>
      <c r="AA42" s="33">
        <f t="shared" si="2"/>
        <v>0</v>
      </c>
      <c r="AB42" s="198"/>
      <c r="AC42" s="1"/>
      <c r="AD42" s="1"/>
      <c r="AE42" s="1"/>
    </row>
    <row r="43" spans="1:31">
      <c r="A43" s="12">
        <f t="shared" si="3"/>
        <v>185</v>
      </c>
      <c r="B43" s="123"/>
      <c r="C43" s="168">
        <v>102</v>
      </c>
      <c r="D43" s="167">
        <v>102</v>
      </c>
      <c r="E43" s="166">
        <v>0.52</v>
      </c>
      <c r="F43" s="11">
        <v>0.52</v>
      </c>
      <c r="G43" s="11">
        <v>0.52</v>
      </c>
      <c r="H43" s="11">
        <v>0.51</v>
      </c>
      <c r="I43" s="199">
        <v>0.51</v>
      </c>
      <c r="J43" s="121"/>
      <c r="K43" s="166">
        <v>26.15</v>
      </c>
      <c r="L43" s="165">
        <v>26.19</v>
      </c>
      <c r="M43" s="41"/>
      <c r="N43" s="164" t="s">
        <v>20</v>
      </c>
      <c r="O43" s="45"/>
      <c r="P43" s="23"/>
      <c r="Q43" s="123"/>
      <c r="R43" s="162">
        <v>18.2</v>
      </c>
      <c r="S43" s="36">
        <f t="shared" si="0"/>
        <v>13.213497654647725</v>
      </c>
      <c r="T43" s="35">
        <v>3</v>
      </c>
      <c r="V43" s="35">
        <f t="shared" si="4"/>
        <v>185</v>
      </c>
      <c r="W43" s="160">
        <f t="shared" si="1"/>
        <v>1.0000000000000009E-2</v>
      </c>
      <c r="X43" s="35">
        <f>IF(OR(ABS(E43-B!$C$6)&gt;(B!$C$6*0.1),ABS(F43-B!$C$6)&gt;(B!$C$6*0.1),ABS(G43-B!$C$6)&gt;(B!$C$6*0.1),ABS(H43-B!$C$6)&gt;(B!$C$6*0.1),ABS(I43-B!$C$6)&gt;(B!$C$6*0.1)),1,0)</f>
        <v>0</v>
      </c>
      <c r="Y43" s="35">
        <v>0</v>
      </c>
      <c r="Z43" s="34">
        <v>0</v>
      </c>
      <c r="AA43" s="33">
        <f t="shared" si="2"/>
        <v>0</v>
      </c>
      <c r="AB43" s="198"/>
      <c r="AC43" s="1"/>
      <c r="AD43" s="1"/>
      <c r="AE43" s="1"/>
    </row>
    <row r="44" spans="1:31">
      <c r="A44" s="12">
        <f t="shared" si="3"/>
        <v>186</v>
      </c>
      <c r="B44" s="123"/>
      <c r="C44" s="168">
        <v>102</v>
      </c>
      <c r="D44" s="167">
        <v>102</v>
      </c>
      <c r="E44" s="166">
        <v>0.51</v>
      </c>
      <c r="F44" s="11">
        <v>0.52</v>
      </c>
      <c r="G44" s="11">
        <v>0.52</v>
      </c>
      <c r="H44" s="11">
        <v>0.52</v>
      </c>
      <c r="I44" s="199">
        <v>0.52</v>
      </c>
      <c r="J44" s="121"/>
      <c r="K44" s="166">
        <v>26.17</v>
      </c>
      <c r="L44" s="165">
        <v>26.09</v>
      </c>
      <c r="M44" s="41"/>
      <c r="N44" s="164" t="s">
        <v>20</v>
      </c>
      <c r="O44" s="45"/>
      <c r="P44" s="23"/>
      <c r="Q44" s="123"/>
      <c r="R44" s="162">
        <v>18.2</v>
      </c>
      <c r="S44" s="36">
        <f t="shared" si="0"/>
        <v>13.182629512743645</v>
      </c>
      <c r="T44" s="35">
        <v>3</v>
      </c>
      <c r="V44" s="35">
        <f t="shared" si="4"/>
        <v>186</v>
      </c>
      <c r="W44" s="160">
        <f t="shared" si="1"/>
        <v>1.0000000000000009E-2</v>
      </c>
      <c r="X44" s="35">
        <f>IF(OR(ABS(E44-B!$C$6)&gt;(B!$C$6*0.1),ABS(F44-B!$C$6)&gt;(B!$C$6*0.1),ABS(G44-B!$C$6)&gt;(B!$C$6*0.1),ABS(H44-B!$C$6)&gt;(B!$C$6*0.1),ABS(I44-B!$C$6)&gt;(B!$C$6*0.1)),1,0)</f>
        <v>0</v>
      </c>
      <c r="Y44" s="35">
        <v>0</v>
      </c>
      <c r="Z44" s="34">
        <v>0</v>
      </c>
      <c r="AA44" s="33">
        <f t="shared" si="2"/>
        <v>0</v>
      </c>
      <c r="AB44" s="198"/>
      <c r="AC44" s="1"/>
      <c r="AD44" s="1"/>
      <c r="AE44" s="1"/>
    </row>
    <row r="45" spans="1:31">
      <c r="A45" s="12">
        <f t="shared" si="3"/>
        <v>187</v>
      </c>
      <c r="B45" s="123"/>
      <c r="C45" s="168">
        <v>102</v>
      </c>
      <c r="D45" s="167">
        <v>102</v>
      </c>
      <c r="E45" s="166">
        <v>0.53</v>
      </c>
      <c r="F45" s="11">
        <v>0.53</v>
      </c>
      <c r="G45" s="11">
        <v>0.53</v>
      </c>
      <c r="H45" s="11">
        <v>0.53</v>
      </c>
      <c r="I45" s="199">
        <v>0.53</v>
      </c>
      <c r="J45" s="121"/>
      <c r="K45" s="166">
        <v>26.15</v>
      </c>
      <c r="L45" s="165">
        <v>26.16</v>
      </c>
      <c r="M45" s="41"/>
      <c r="N45" s="164" t="s">
        <v>20</v>
      </c>
      <c r="O45" s="45"/>
      <c r="P45" s="23"/>
      <c r="Q45" s="123"/>
      <c r="R45" s="162">
        <v>18.7</v>
      </c>
      <c r="S45" s="36">
        <f t="shared" si="0"/>
        <v>13.225461658785491</v>
      </c>
      <c r="T45" s="35">
        <v>3</v>
      </c>
      <c r="V45" s="35">
        <f t="shared" si="4"/>
        <v>187</v>
      </c>
      <c r="W45" s="160">
        <f t="shared" si="1"/>
        <v>0</v>
      </c>
      <c r="X45" s="35">
        <f>IF(OR(ABS(E45-B!$C$6)&gt;(B!$C$6*0.1),ABS(F45-B!$C$6)&gt;(B!$C$6*0.1),ABS(G45-B!$C$6)&gt;(B!$C$6*0.1),ABS(H45-B!$C$6)&gt;(B!$C$6*0.1),ABS(I45-B!$C$6)&gt;(B!$C$6*0.1)),1,0)</f>
        <v>0</v>
      </c>
      <c r="Y45" s="35">
        <v>0</v>
      </c>
      <c r="Z45" s="34">
        <v>0</v>
      </c>
      <c r="AA45" s="33">
        <f t="shared" si="2"/>
        <v>0</v>
      </c>
      <c r="AB45" s="198"/>
      <c r="AC45" s="1"/>
      <c r="AD45" s="1"/>
      <c r="AE45" s="1"/>
    </row>
    <row r="46" spans="1:31">
      <c r="A46" s="12">
        <f t="shared" si="3"/>
        <v>188</v>
      </c>
      <c r="B46" s="123"/>
      <c r="C46" s="168">
        <v>102</v>
      </c>
      <c r="D46" s="167">
        <v>102</v>
      </c>
      <c r="E46" s="166">
        <v>0.51</v>
      </c>
      <c r="F46" s="11">
        <v>0.51</v>
      </c>
      <c r="G46" s="11">
        <v>0.51</v>
      </c>
      <c r="H46" s="11">
        <v>0.51</v>
      </c>
      <c r="I46" s="199">
        <v>0.51</v>
      </c>
      <c r="J46" s="121"/>
      <c r="K46" s="166">
        <v>26.18</v>
      </c>
      <c r="L46" s="165">
        <v>26.13</v>
      </c>
      <c r="M46" s="41" t="s">
        <v>20</v>
      </c>
      <c r="N46" s="164"/>
      <c r="O46" s="45"/>
      <c r="P46" s="23"/>
      <c r="Q46" s="123"/>
      <c r="R46" s="162">
        <v>18.3</v>
      </c>
      <c r="S46" s="36">
        <f t="shared" si="0"/>
        <v>13.450115615870871</v>
      </c>
      <c r="T46" s="35">
        <v>3</v>
      </c>
      <c r="V46" s="35">
        <f t="shared" si="4"/>
        <v>188</v>
      </c>
      <c r="W46" s="160">
        <f t="shared" si="1"/>
        <v>0</v>
      </c>
      <c r="X46" s="35">
        <f>IF(OR(ABS(E46-B!$C$6)&gt;(B!$C$6*0.1),ABS(F46-B!$C$6)&gt;(B!$C$6*0.1),ABS(G46-B!$C$6)&gt;(B!$C$6*0.1),ABS(H46-B!$C$6)&gt;(B!$C$6*0.1),ABS(I46-B!$C$6)&gt;(B!$C$6*0.1)),1,0)</f>
        <v>0</v>
      </c>
      <c r="Y46" s="35">
        <v>0</v>
      </c>
      <c r="Z46" s="34">
        <v>0</v>
      </c>
      <c r="AA46" s="33">
        <f t="shared" si="2"/>
        <v>0</v>
      </c>
      <c r="AB46" s="198"/>
      <c r="AC46" s="1"/>
      <c r="AD46" s="1"/>
      <c r="AE46" s="1"/>
    </row>
    <row r="47" spans="1:31">
      <c r="A47" s="12">
        <f t="shared" si="3"/>
        <v>189</v>
      </c>
      <c r="B47" s="123"/>
      <c r="C47" s="168">
        <v>102</v>
      </c>
      <c r="D47" s="167">
        <v>102</v>
      </c>
      <c r="E47" s="166">
        <v>0.52</v>
      </c>
      <c r="F47" s="11">
        <v>0.53</v>
      </c>
      <c r="G47" s="11">
        <v>0.52</v>
      </c>
      <c r="H47" s="11">
        <v>0.53</v>
      </c>
      <c r="I47" s="199">
        <v>0.52</v>
      </c>
      <c r="J47" s="121"/>
      <c r="K47" s="166">
        <v>26.13</v>
      </c>
      <c r="L47" s="165">
        <v>26.11</v>
      </c>
      <c r="M47" s="41" t="s">
        <v>20</v>
      </c>
      <c r="N47" s="164"/>
      <c r="O47" s="45"/>
      <c r="P47" s="23"/>
      <c r="Q47" s="123"/>
      <c r="R47" s="162">
        <v>18.600000000000001</v>
      </c>
      <c r="S47" s="36">
        <f t="shared" si="0"/>
        <v>13.323192807745126</v>
      </c>
      <c r="T47" s="35">
        <v>3</v>
      </c>
      <c r="V47" s="35">
        <f t="shared" si="4"/>
        <v>189</v>
      </c>
      <c r="W47" s="160">
        <f t="shared" si="1"/>
        <v>1.0000000000000009E-2</v>
      </c>
      <c r="X47" s="35">
        <f>IF(OR(ABS(E47-B!$C$6)&gt;(B!$C$6*0.1),ABS(F47-B!$C$6)&gt;(B!$C$6*0.1),ABS(G47-B!$C$6)&gt;(B!$C$6*0.1),ABS(H47-B!$C$6)&gt;(B!$C$6*0.1),ABS(I47-B!$C$6)&gt;(B!$C$6*0.1)),1,0)</f>
        <v>0</v>
      </c>
      <c r="Y47" s="35">
        <v>0</v>
      </c>
      <c r="Z47" s="34">
        <v>0</v>
      </c>
      <c r="AA47" s="33">
        <f t="shared" si="2"/>
        <v>0</v>
      </c>
      <c r="AB47" s="198"/>
      <c r="AC47" s="1"/>
      <c r="AD47" s="1"/>
      <c r="AE47" s="1"/>
    </row>
    <row r="48" spans="1:31" s="103" customFormat="1">
      <c r="A48" s="71">
        <f t="shared" si="3"/>
        <v>190</v>
      </c>
      <c r="B48" s="153"/>
      <c r="C48" s="159">
        <v>102</v>
      </c>
      <c r="D48" s="158">
        <v>102</v>
      </c>
      <c r="E48" s="157">
        <v>0.53</v>
      </c>
      <c r="F48" s="197">
        <v>0.53</v>
      </c>
      <c r="G48" s="197">
        <v>0.53</v>
      </c>
      <c r="H48" s="197">
        <v>0.53</v>
      </c>
      <c r="I48" s="196">
        <v>0.53</v>
      </c>
      <c r="J48" s="195"/>
      <c r="K48" s="157">
        <v>26.14</v>
      </c>
      <c r="L48" s="156">
        <v>26.22</v>
      </c>
      <c r="M48" s="31" t="s">
        <v>20</v>
      </c>
      <c r="N48" s="155"/>
      <c r="O48" s="154"/>
      <c r="P48" s="107"/>
      <c r="Q48" s="153"/>
      <c r="R48" s="152">
        <v>18.7</v>
      </c>
      <c r="S48" s="20">
        <f t="shared" si="0"/>
        <v>13.212832302732414</v>
      </c>
      <c r="T48" s="19">
        <v>3</v>
      </c>
      <c r="V48" s="19">
        <f t="shared" si="4"/>
        <v>190</v>
      </c>
      <c r="W48" s="151">
        <f t="shared" si="1"/>
        <v>0</v>
      </c>
      <c r="X48" s="19">
        <f>IF(OR(ABS(E48-B!$C$6)&gt;(B!$C$6*0.1),ABS(F48-B!$C$6)&gt;(B!$C$6*0.1),ABS(G48-B!$C$6)&gt;(B!$C$6*0.1),ABS(H48-B!$C$6)&gt;(B!$C$6*0.1),ABS(I48-B!$C$6)&gt;(B!$C$6*0.1)),1,0)</f>
        <v>0</v>
      </c>
      <c r="Y48" s="19">
        <v>0</v>
      </c>
      <c r="Z48" s="18">
        <v>0</v>
      </c>
      <c r="AA48" s="17">
        <f t="shared" si="2"/>
        <v>0</v>
      </c>
      <c r="AB48" s="194"/>
      <c r="AC48" s="71"/>
      <c r="AD48" s="71"/>
      <c r="AE48" s="71"/>
    </row>
    <row r="49" spans="1:3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V49" s="1"/>
      <c r="W49" s="1"/>
      <c r="X49" s="1"/>
      <c r="Y49" s="1">
        <v>0</v>
      </c>
      <c r="Z49" s="1">
        <v>0</v>
      </c>
      <c r="AA49" s="193">
        <f>SUM(AA12:AA48)</f>
        <v>9</v>
      </c>
      <c r="AB49" s="193"/>
      <c r="AC49" s="1"/>
      <c r="AD49" s="1"/>
      <c r="AE49" s="1"/>
    </row>
    <row r="50" spans="1:3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V50" s="1"/>
      <c r="W50" s="1"/>
      <c r="X50" s="1"/>
      <c r="Y50" s="1"/>
      <c r="Z50" s="1"/>
      <c r="AA50" s="1"/>
      <c r="AB50" s="1"/>
      <c r="AC50" s="1"/>
      <c r="AD50" s="1"/>
      <c r="AE50" s="1"/>
    </row>
    <row r="51" spans="1:31">
      <c r="A51" s="12" t="s">
        <v>17</v>
      </c>
      <c r="B51" s="1"/>
      <c r="C51" s="1" t="s">
        <v>16</v>
      </c>
      <c r="D51" s="1"/>
      <c r="E51" s="1" t="s">
        <v>15</v>
      </c>
      <c r="F51" s="1"/>
      <c r="G51" s="1"/>
      <c r="H51" s="1"/>
      <c r="I51" s="1"/>
      <c r="J51" s="1"/>
      <c r="K51" s="1" t="s">
        <v>14</v>
      </c>
      <c r="L51" s="1"/>
      <c r="M51" s="1"/>
      <c r="N51" s="1"/>
      <c r="O51" s="1"/>
      <c r="P51" s="1"/>
      <c r="Q51" s="1"/>
      <c r="R51" s="1" t="s">
        <v>13</v>
      </c>
      <c r="S51" s="1" t="s">
        <v>12</v>
      </c>
      <c r="T51" s="1"/>
      <c r="V51" s="1"/>
      <c r="W51" s="1"/>
      <c r="X51" s="1"/>
      <c r="Y51" s="1"/>
      <c r="Z51" s="1"/>
      <c r="AA51" s="1"/>
      <c r="AB51" s="1"/>
      <c r="AC51" s="1"/>
      <c r="AD51" s="1"/>
      <c r="AE51" s="1"/>
    </row>
    <row r="52" spans="1:31">
      <c r="A52" s="12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V52" s="1"/>
      <c r="W52" s="1"/>
      <c r="X52" s="1"/>
      <c r="Y52" s="1"/>
      <c r="Z52" s="1"/>
      <c r="AA52" s="1"/>
      <c r="AB52" s="1"/>
      <c r="AC52" s="1"/>
      <c r="AD52" s="1"/>
      <c r="AE52" s="1"/>
    </row>
    <row r="53" spans="1:31">
      <c r="A53" s="1" t="s">
        <v>11</v>
      </c>
      <c r="B53" s="1"/>
      <c r="C53" s="1">
        <f>4*25.4</f>
        <v>101.6</v>
      </c>
      <c r="D53" s="1"/>
      <c r="E53" s="1">
        <f>C6</f>
        <v>0.50800000000000001</v>
      </c>
      <c r="F53" s="1"/>
      <c r="G53" s="1"/>
      <c r="H53" s="1"/>
      <c r="I53" s="1"/>
      <c r="J53" s="1"/>
      <c r="K53" s="11">
        <v>25.4</v>
      </c>
      <c r="L53" s="1"/>
      <c r="M53" s="1"/>
      <c r="N53" s="1"/>
      <c r="O53" s="1"/>
      <c r="P53" s="1"/>
      <c r="Q53" s="1"/>
      <c r="R53" s="1"/>
      <c r="S53" s="1"/>
      <c r="T53" s="1"/>
      <c r="V53" s="1"/>
      <c r="W53" s="1"/>
      <c r="X53" s="1"/>
      <c r="Y53" s="1"/>
      <c r="Z53" s="1"/>
      <c r="AA53" s="1"/>
      <c r="AB53" s="1"/>
      <c r="AC53" s="1"/>
      <c r="AD53" s="1"/>
      <c r="AE53" s="1"/>
    </row>
    <row r="54" spans="1:31">
      <c r="A54" s="1" t="s">
        <v>10</v>
      </c>
      <c r="B54" s="1"/>
      <c r="C54" s="1">
        <f>MODE(C12:D48)</f>
        <v>102</v>
      </c>
      <c r="D54" s="1"/>
      <c r="E54" s="1">
        <f>MODE(E12:I48)</f>
        <v>0.51</v>
      </c>
      <c r="F54" s="1"/>
      <c r="G54" s="1"/>
      <c r="H54" s="1"/>
      <c r="I54" s="1"/>
      <c r="J54" s="1"/>
      <c r="K54" s="1">
        <f>MODE(K12:L48)</f>
        <v>26.13</v>
      </c>
      <c r="L54" s="1"/>
      <c r="M54" s="1"/>
      <c r="N54" s="1"/>
      <c r="O54" s="1"/>
      <c r="P54" s="1"/>
      <c r="Q54" s="1"/>
      <c r="R54" s="1">
        <f>MODE(R12:R48)</f>
        <v>18.7</v>
      </c>
      <c r="S54" s="7">
        <f>MODE(S12:S48)</f>
        <v>13.225461658785491</v>
      </c>
      <c r="T54" s="1"/>
      <c r="V54" s="1"/>
      <c r="W54" s="1"/>
      <c r="X54" s="1"/>
      <c r="Y54" s="1"/>
      <c r="Z54" s="1"/>
      <c r="AA54" s="1"/>
      <c r="AB54" s="1"/>
      <c r="AC54" s="1"/>
      <c r="AD54" s="1"/>
      <c r="AE54" s="1"/>
    </row>
    <row r="55" spans="1:31">
      <c r="A55" s="1" t="s">
        <v>9</v>
      </c>
      <c r="B55" s="1"/>
      <c r="C55" s="10">
        <f>AVERAGE(C12:D48)</f>
        <v>102.05405405405405</v>
      </c>
      <c r="D55" s="10"/>
      <c r="E55" s="7">
        <f>AVERAGE(E12:I48)</f>
        <v>0.51437837837837885</v>
      </c>
      <c r="F55" s="1"/>
      <c r="G55" s="1"/>
      <c r="H55" s="1"/>
      <c r="I55" s="1"/>
      <c r="J55" s="1"/>
      <c r="K55" s="6">
        <f>AVERAGE(K12:L48)</f>
        <v>26.161081081081104</v>
      </c>
      <c r="L55" s="1"/>
      <c r="M55" s="1"/>
      <c r="N55" s="1"/>
      <c r="O55" s="1"/>
      <c r="P55" s="1"/>
      <c r="Q55" s="1"/>
      <c r="R55" s="9">
        <f>AVERAGE(R12:R48)</f>
        <v>18.416216216216224</v>
      </c>
      <c r="S55" s="7">
        <f>AVERAGE(S12:S48)</f>
        <v>13.411439162573856</v>
      </c>
      <c r="T55" s="1"/>
      <c r="V55" s="1"/>
      <c r="W55" s="1"/>
      <c r="X55" s="1"/>
      <c r="Y55" s="1"/>
      <c r="Z55" s="1"/>
      <c r="AA55" s="1"/>
      <c r="AB55" s="1"/>
      <c r="AC55" s="1"/>
      <c r="AD55" s="1"/>
      <c r="AE55" s="1"/>
    </row>
    <row r="56" spans="1:31">
      <c r="A56" s="1" t="s">
        <v>8</v>
      </c>
      <c r="B56" s="1"/>
      <c r="C56" s="7">
        <f>STDEV(C12:D48)</f>
        <v>0.22766786020951793</v>
      </c>
      <c r="D56" s="1"/>
      <c r="E56" s="192">
        <f>STDEV(E12:I48)</f>
        <v>1.0923029499319703E-2</v>
      </c>
      <c r="F56" s="1"/>
      <c r="G56" s="1"/>
      <c r="H56" s="1"/>
      <c r="I56" s="1"/>
      <c r="J56" s="1"/>
      <c r="K56" s="7">
        <f>STDEV(K12:L48)</f>
        <v>4.5437525001559217E-2</v>
      </c>
      <c r="L56" s="1"/>
      <c r="M56" s="1"/>
      <c r="N56" s="1"/>
      <c r="O56" s="1"/>
      <c r="P56" s="1"/>
      <c r="Q56" s="1"/>
      <c r="R56" s="7">
        <f>STDEV(R12:R48)</f>
        <v>0.33789669157032892</v>
      </c>
      <c r="S56" s="7">
        <f>STDEV(S12:S48)</f>
        <v>0.15071845489596822</v>
      </c>
      <c r="T56" s="1"/>
      <c r="V56" s="1"/>
      <c r="W56" s="1"/>
      <c r="X56" s="1"/>
      <c r="Y56" s="1"/>
      <c r="Z56" s="1"/>
      <c r="AA56" s="1"/>
      <c r="AB56" s="1"/>
      <c r="AC56" s="1"/>
      <c r="AD56" s="1"/>
      <c r="AE56" s="1"/>
    </row>
    <row r="57" spans="1:31">
      <c r="A57" s="8" t="s">
        <v>7</v>
      </c>
      <c r="B57" s="1"/>
      <c r="C57" s="7">
        <f>C55+C56</f>
        <v>102.28172191426357</v>
      </c>
      <c r="D57" s="1"/>
      <c r="E57" s="7">
        <f>E55+E56</f>
        <v>0.52530140787769852</v>
      </c>
      <c r="F57" s="1"/>
      <c r="G57" s="1"/>
      <c r="H57" s="1"/>
      <c r="I57" s="1"/>
      <c r="J57" s="1"/>
      <c r="K57" s="6">
        <f>K55+K56</f>
        <v>26.206518606082664</v>
      </c>
      <c r="L57" s="1"/>
      <c r="M57" s="1"/>
      <c r="N57" s="1"/>
      <c r="O57" s="1"/>
      <c r="P57" s="1"/>
      <c r="Q57" s="1"/>
      <c r="R57" s="7">
        <f>R55+R56</f>
        <v>18.754112907786553</v>
      </c>
      <c r="S57" s="9">
        <f>S55+S56</f>
        <v>13.562157617469824</v>
      </c>
      <c r="T57" s="1"/>
      <c r="V57" s="1"/>
      <c r="W57" s="1"/>
      <c r="X57" s="1"/>
      <c r="Y57" s="1"/>
      <c r="Z57" s="1"/>
      <c r="AA57" s="1"/>
      <c r="AB57" s="1"/>
      <c r="AC57" s="1"/>
      <c r="AD57" s="1"/>
      <c r="AE57" s="1"/>
    </row>
    <row r="58" spans="1:31">
      <c r="A58" s="8" t="s">
        <v>6</v>
      </c>
      <c r="B58" s="1"/>
      <c r="C58" s="7">
        <f>C55-C56</f>
        <v>101.82638619384453</v>
      </c>
      <c r="D58" s="1"/>
      <c r="E58" s="7">
        <f>E55-E56</f>
        <v>0.50345534887905918</v>
      </c>
      <c r="F58" s="1"/>
      <c r="G58" s="1"/>
      <c r="H58" s="1"/>
      <c r="I58" s="1"/>
      <c r="J58" s="1"/>
      <c r="K58" s="6">
        <f>K55-K56</f>
        <v>26.115643556079544</v>
      </c>
      <c r="L58" s="1"/>
      <c r="M58" s="1"/>
      <c r="N58" s="1"/>
      <c r="O58" s="1"/>
      <c r="P58" s="1"/>
      <c r="Q58" s="1"/>
      <c r="R58" s="7">
        <f>R55-R56</f>
        <v>18.078319524645895</v>
      </c>
      <c r="S58" s="9">
        <f>S55-S56</f>
        <v>13.260720707677889</v>
      </c>
      <c r="T58" s="1"/>
      <c r="V58" s="1"/>
      <c r="W58" s="1"/>
      <c r="X58" s="1"/>
      <c r="Y58" s="1"/>
      <c r="Z58" s="1"/>
      <c r="AA58" s="1"/>
      <c r="AB58" s="1"/>
      <c r="AC58" s="1"/>
      <c r="AD58" s="1"/>
      <c r="AE58" s="1"/>
    </row>
    <row r="59" spans="1:31">
      <c r="A59" s="8" t="s">
        <v>57</v>
      </c>
      <c r="B59" s="1"/>
      <c r="C59" s="6">
        <f>MAX(C12:D48)-C53</f>
        <v>1.4000000000000057</v>
      </c>
      <c r="D59" s="1"/>
      <c r="E59" s="7">
        <f>MAX($E$12:$I$48)-$E$53</f>
        <v>3.2000000000000028E-2</v>
      </c>
      <c r="F59" s="1"/>
      <c r="G59" s="1"/>
      <c r="H59" s="1"/>
      <c r="I59" s="1"/>
      <c r="J59" s="1"/>
      <c r="K59" s="7">
        <f>MAX(K12:L48)-K53</f>
        <v>0.86000000000000298</v>
      </c>
      <c r="L59" s="1"/>
      <c r="M59" s="1"/>
      <c r="N59" s="6"/>
      <c r="O59" s="1"/>
      <c r="P59" s="1"/>
      <c r="Q59" s="1"/>
      <c r="R59" s="1"/>
      <c r="S59" s="1"/>
      <c r="T59" s="1"/>
      <c r="V59" s="1"/>
      <c r="W59" s="1"/>
      <c r="X59" s="1"/>
      <c r="Y59" s="1"/>
      <c r="Z59" s="1"/>
      <c r="AA59" s="1"/>
      <c r="AB59" s="1"/>
      <c r="AC59" s="1"/>
      <c r="AD59" s="1"/>
      <c r="AE59" s="1"/>
    </row>
    <row r="60" spans="1:31">
      <c r="A60" s="8" t="s">
        <v>55</v>
      </c>
      <c r="B60" s="1"/>
      <c r="C60" s="6">
        <f>MIN(C12:D48)-C53</f>
        <v>0.40000000000000568</v>
      </c>
      <c r="D60" s="1"/>
      <c r="E60" s="7">
        <f>MIN($E$12:$I$48)-$E$53</f>
        <v>-1.8000000000000016E-2</v>
      </c>
      <c r="F60" s="1"/>
      <c r="G60" s="1"/>
      <c r="H60" s="1"/>
      <c r="I60" s="1"/>
      <c r="J60" s="1"/>
      <c r="K60" s="7">
        <f>MIN(K12:L48)-K53</f>
        <v>0.64000000000000057</v>
      </c>
      <c r="L60" s="1"/>
      <c r="M60" s="1"/>
      <c r="N60" s="1"/>
      <c r="O60" s="1"/>
      <c r="P60" s="1"/>
      <c r="Q60" s="1"/>
      <c r="R60" s="1"/>
      <c r="S60" s="1"/>
      <c r="T60" s="1"/>
      <c r="V60" s="1"/>
      <c r="W60" s="1"/>
      <c r="X60" s="1"/>
      <c r="Y60" s="1"/>
      <c r="Z60" s="1"/>
      <c r="AA60" s="1"/>
      <c r="AB60" s="1"/>
      <c r="AC60" s="1"/>
      <c r="AD60" s="1"/>
      <c r="AE60" s="1"/>
    </row>
    <row r="61" spans="1:31" ht="15" thickBo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V61" s="1"/>
      <c r="W61" s="1"/>
      <c r="X61" s="1"/>
      <c r="Y61" s="1"/>
      <c r="Z61" s="1"/>
      <c r="AA61" s="1"/>
      <c r="AB61" s="1"/>
      <c r="AC61" s="1"/>
      <c r="AD61" s="1"/>
      <c r="AE61" s="1"/>
    </row>
    <row r="62" spans="1:31">
      <c r="A62" s="1" t="s">
        <v>3</v>
      </c>
      <c r="B62" s="1"/>
      <c r="C62" s="1"/>
      <c r="D62" s="5" t="s">
        <v>2</v>
      </c>
      <c r="E62" s="5" t="s">
        <v>1</v>
      </c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V62" s="1"/>
      <c r="W62" s="1"/>
      <c r="X62" s="1"/>
      <c r="Y62" s="1"/>
      <c r="Z62" s="1"/>
      <c r="AA62" s="1"/>
      <c r="AB62" s="1"/>
      <c r="AC62" s="1"/>
      <c r="AD62" s="1"/>
      <c r="AE62" s="1"/>
    </row>
    <row r="63" spans="1:31">
      <c r="A63" s="1">
        <v>0.46</v>
      </c>
      <c r="B63" s="1"/>
      <c r="C63" s="1"/>
      <c r="D63" s="4">
        <v>0.46</v>
      </c>
      <c r="E63" s="3">
        <v>0</v>
      </c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V63" s="1"/>
      <c r="W63" s="1"/>
      <c r="X63" s="1"/>
      <c r="Y63" s="1"/>
      <c r="Z63" s="1"/>
      <c r="AA63" s="1"/>
      <c r="AB63" s="1"/>
      <c r="AC63" s="1"/>
      <c r="AD63" s="1"/>
      <c r="AE63" s="1"/>
    </row>
    <row r="64" spans="1:31">
      <c r="A64" s="1">
        <f t="shared" ref="A64:A72" si="5">A63+0.01</f>
        <v>0.47000000000000003</v>
      </c>
      <c r="B64" s="1"/>
      <c r="C64" s="1"/>
      <c r="D64" s="4">
        <v>0.47000000000000003</v>
      </c>
      <c r="E64" s="3">
        <v>0</v>
      </c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V64" s="1"/>
      <c r="W64" s="1"/>
      <c r="X64" s="1"/>
      <c r="Y64" s="1"/>
      <c r="Z64" s="1"/>
      <c r="AA64" s="1"/>
      <c r="AB64" s="1"/>
      <c r="AC64" s="1"/>
      <c r="AD64" s="1"/>
      <c r="AE64" s="1"/>
    </row>
    <row r="65" spans="1:31">
      <c r="A65" s="1">
        <f t="shared" si="5"/>
        <v>0.48000000000000004</v>
      </c>
      <c r="B65" s="1"/>
      <c r="C65" s="1"/>
      <c r="D65" s="4">
        <v>0.48000000000000004</v>
      </c>
      <c r="E65" s="3">
        <v>0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V65" s="1"/>
      <c r="W65" s="1"/>
      <c r="X65" s="1"/>
      <c r="Y65" s="1"/>
      <c r="Z65" s="1"/>
      <c r="AA65" s="1"/>
      <c r="AB65" s="1"/>
      <c r="AC65" s="1"/>
      <c r="AD65" s="1"/>
      <c r="AE65" s="1"/>
    </row>
    <row r="66" spans="1:31">
      <c r="A66" s="1">
        <f t="shared" si="5"/>
        <v>0.49000000000000005</v>
      </c>
      <c r="B66" s="1"/>
      <c r="C66" s="1"/>
      <c r="D66" s="4">
        <v>0.49000000000000005</v>
      </c>
      <c r="E66" s="3">
        <v>8</v>
      </c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V66" s="1"/>
      <c r="W66" s="1"/>
      <c r="X66" s="1"/>
      <c r="Y66" s="1"/>
      <c r="Z66" s="1"/>
      <c r="AA66" s="1"/>
      <c r="AB66" s="1"/>
      <c r="AC66" s="1"/>
      <c r="AD66" s="1"/>
      <c r="AE66" s="1"/>
    </row>
    <row r="67" spans="1:31">
      <c r="A67" s="1">
        <f t="shared" si="5"/>
        <v>0.5</v>
      </c>
      <c r="B67" s="1"/>
      <c r="C67" s="1"/>
      <c r="D67" s="4">
        <v>0.5</v>
      </c>
      <c r="E67" s="3">
        <v>26</v>
      </c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V67" s="1"/>
      <c r="W67" s="1"/>
      <c r="X67" s="1"/>
      <c r="Y67" s="1"/>
      <c r="Z67" s="1"/>
      <c r="AA67" s="1"/>
      <c r="AB67" s="1"/>
      <c r="AC67" s="1"/>
      <c r="AD67" s="1"/>
      <c r="AE67" s="1"/>
    </row>
    <row r="68" spans="1:31">
      <c r="A68" s="1">
        <f t="shared" si="5"/>
        <v>0.51</v>
      </c>
      <c r="B68" s="1"/>
      <c r="C68" s="1"/>
      <c r="D68" s="4">
        <v>0.51</v>
      </c>
      <c r="E68" s="3">
        <v>64</v>
      </c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V68" s="1"/>
      <c r="W68" s="1"/>
      <c r="X68" s="1"/>
      <c r="Y68" s="1"/>
      <c r="Z68" s="1"/>
      <c r="AA68" s="1"/>
      <c r="AB68" s="1"/>
      <c r="AC68" s="1"/>
      <c r="AD68" s="1"/>
      <c r="AE68" s="1"/>
    </row>
    <row r="69" spans="1:31">
      <c r="A69" s="1">
        <f t="shared" si="5"/>
        <v>0.52</v>
      </c>
      <c r="B69" s="1"/>
      <c r="C69" s="1"/>
      <c r="D69" s="4">
        <v>0.52</v>
      </c>
      <c r="E69" s="3">
        <v>52</v>
      </c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V69" s="1"/>
      <c r="W69" s="1"/>
      <c r="X69" s="1"/>
      <c r="Y69" s="1"/>
      <c r="Z69" s="1"/>
      <c r="AA69" s="1"/>
      <c r="AB69" s="1"/>
      <c r="AC69" s="1"/>
      <c r="AD69" s="1"/>
      <c r="AE69" s="1"/>
    </row>
    <row r="70" spans="1:31">
      <c r="A70" s="1">
        <f t="shared" si="5"/>
        <v>0.53</v>
      </c>
      <c r="B70" s="1"/>
      <c r="C70" s="1"/>
      <c r="D70" s="4">
        <v>0.53</v>
      </c>
      <c r="E70" s="3">
        <v>34</v>
      </c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V70" s="1"/>
      <c r="W70" s="1"/>
      <c r="X70" s="1"/>
      <c r="Y70" s="1"/>
      <c r="Z70" s="1"/>
      <c r="AA70" s="1"/>
      <c r="AB70" s="1"/>
      <c r="AC70" s="1"/>
      <c r="AD70" s="1"/>
      <c r="AE70" s="1"/>
    </row>
    <row r="71" spans="1:31">
      <c r="A71" s="1">
        <f t="shared" si="5"/>
        <v>0.54</v>
      </c>
      <c r="B71" s="1"/>
      <c r="C71" s="1"/>
      <c r="D71" s="4">
        <v>0.54</v>
      </c>
      <c r="E71" s="3">
        <v>1</v>
      </c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V71" s="1"/>
      <c r="W71" s="1"/>
      <c r="X71" s="1"/>
      <c r="Y71" s="1"/>
      <c r="Z71" s="1"/>
      <c r="AA71" s="1"/>
      <c r="AB71" s="1"/>
      <c r="AC71" s="1"/>
      <c r="AD71" s="1"/>
      <c r="AE71" s="1"/>
    </row>
    <row r="72" spans="1:31">
      <c r="A72" s="1">
        <f t="shared" si="5"/>
        <v>0.55000000000000004</v>
      </c>
      <c r="B72" s="1"/>
      <c r="C72" s="1"/>
      <c r="D72" s="4">
        <v>0.55000000000000004</v>
      </c>
      <c r="E72" s="3">
        <v>0</v>
      </c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V72" s="1"/>
      <c r="W72" s="1"/>
      <c r="X72" s="1"/>
      <c r="Y72" s="1"/>
      <c r="Z72" s="1"/>
      <c r="AA72" s="1"/>
      <c r="AB72" s="1"/>
      <c r="AC72" s="1"/>
      <c r="AD72" s="1"/>
      <c r="AE72" s="1"/>
    </row>
    <row r="73" spans="1:31" ht="15" thickBot="1">
      <c r="A73" s="1"/>
      <c r="B73" s="1"/>
      <c r="C73" s="1"/>
      <c r="D73" s="2" t="s">
        <v>0</v>
      </c>
      <c r="E73" s="2">
        <v>0</v>
      </c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V73" s="1"/>
      <c r="W73" s="1"/>
      <c r="X73" s="1"/>
      <c r="Y73" s="1"/>
      <c r="Z73" s="1"/>
      <c r="AA73" s="1"/>
      <c r="AB73" s="1"/>
      <c r="AC73" s="1"/>
      <c r="AD73" s="1"/>
      <c r="AE73" s="1"/>
    </row>
    <row r="74" spans="1:3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V74" s="1"/>
      <c r="W74" s="1"/>
      <c r="X74" s="1"/>
      <c r="Y74" s="1"/>
      <c r="Z74" s="1"/>
      <c r="AA74" s="1"/>
      <c r="AB74" s="1"/>
      <c r="AC74" s="1"/>
      <c r="AD74" s="1"/>
      <c r="AE74" s="1"/>
    </row>
    <row r="75" spans="1:3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V75" s="1"/>
      <c r="W75" s="1"/>
      <c r="X75" s="1"/>
      <c r="Y75" s="1"/>
      <c r="Z75" s="1"/>
      <c r="AA75" s="1"/>
      <c r="AB75" s="1"/>
      <c r="AC75" s="1"/>
      <c r="AD75" s="1"/>
      <c r="AE75" s="1"/>
    </row>
  </sheetData>
  <mergeCells count="4">
    <mergeCell ref="C9:D9"/>
    <mergeCell ref="E9:I9"/>
    <mergeCell ref="K9:L9"/>
    <mergeCell ref="M9:P9"/>
  </mergeCells>
  <phoneticPr fontId="16" type="noConversion"/>
  <pageMargins left="0.25" right="0.25" top="0.25" bottom="0.25" header="0.3" footer="0.3"/>
  <pageSetup orientation="landscape" horizontalDpi="200" verticalDpi="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2"/>
  <sheetViews>
    <sheetView tabSelected="1" view="pageLayout" topLeftCell="A40" zoomScale="125" workbookViewId="0">
      <selection activeCell="G67" sqref="G67"/>
    </sheetView>
  </sheetViews>
  <sheetFormatPr baseColWidth="10" defaultColWidth="8.83203125" defaultRowHeight="12" x14ac:dyDescent="0"/>
  <cols>
    <col min="1" max="1" width="8.33203125" style="334" customWidth="1"/>
    <col min="2" max="2" width="14.1640625" style="334" customWidth="1"/>
    <col min="3" max="3" width="12.5" style="334" customWidth="1"/>
    <col min="4" max="4" width="15.83203125" style="334" customWidth="1"/>
    <col min="5" max="5" width="16.33203125" style="334" customWidth="1"/>
    <col min="6" max="6" width="15.33203125" style="334" customWidth="1"/>
    <col min="7" max="7" width="15.6640625" style="334" customWidth="1"/>
    <col min="8" max="9" width="10.5" style="334" customWidth="1"/>
    <col min="10" max="11" width="11.5" style="334" customWidth="1"/>
    <col min="12" max="12" width="14.1640625" style="334" customWidth="1"/>
    <col min="13" max="13" width="1.5" style="334" customWidth="1"/>
    <col min="14" max="16384" width="8.83203125" style="334"/>
  </cols>
  <sheetData>
    <row r="1" spans="1:12">
      <c r="A1" s="334" t="s">
        <v>215</v>
      </c>
      <c r="J1" s="335">
        <v>40960</v>
      </c>
    </row>
    <row r="3" spans="1:12">
      <c r="B3" s="334" t="s">
        <v>216</v>
      </c>
    </row>
    <row r="4" spans="1:12" ht="13" thickBot="1">
      <c r="B4" s="334" t="s">
        <v>217</v>
      </c>
      <c r="E4" s="336">
        <v>0.18</v>
      </c>
      <c r="F4" s="334" t="s">
        <v>45</v>
      </c>
      <c r="G4" s="334" t="s">
        <v>218</v>
      </c>
    </row>
    <row r="5" spans="1:12" ht="13" thickBot="1">
      <c r="B5" s="334" t="s">
        <v>219</v>
      </c>
      <c r="E5" s="337">
        <v>0.09</v>
      </c>
      <c r="F5" s="334" t="s">
        <v>45</v>
      </c>
    </row>
    <row r="6" spans="1:12" ht="13" thickBot="1"/>
    <row r="7" spans="1:12">
      <c r="A7" s="338"/>
      <c r="B7" s="339" t="s">
        <v>220</v>
      </c>
      <c r="C7" s="339" t="s">
        <v>221</v>
      </c>
      <c r="D7" s="339" t="s">
        <v>222</v>
      </c>
      <c r="E7" s="339" t="s">
        <v>223</v>
      </c>
      <c r="F7" s="339" t="s">
        <v>224</v>
      </c>
      <c r="G7" s="339" t="s">
        <v>225</v>
      </c>
      <c r="H7" s="339" t="s">
        <v>226</v>
      </c>
      <c r="I7" s="339" t="s">
        <v>226</v>
      </c>
      <c r="J7" s="339" t="s">
        <v>227</v>
      </c>
      <c r="K7" s="339" t="s">
        <v>227</v>
      </c>
      <c r="L7" s="340" t="s">
        <v>228</v>
      </c>
    </row>
    <row r="8" spans="1:12">
      <c r="A8" s="341"/>
      <c r="B8" s="342"/>
      <c r="C8" s="342" t="s">
        <v>45</v>
      </c>
      <c r="D8" s="342"/>
      <c r="E8" s="343"/>
      <c r="F8" s="343"/>
      <c r="G8" s="343"/>
      <c r="H8" s="342" t="s">
        <v>45</v>
      </c>
      <c r="I8" s="344" t="s">
        <v>229</v>
      </c>
      <c r="J8" s="342" t="s">
        <v>230</v>
      </c>
      <c r="K8" s="344" t="s">
        <v>231</v>
      </c>
      <c r="L8" s="345" t="s">
        <v>45</v>
      </c>
    </row>
    <row r="9" spans="1:12">
      <c r="A9" s="341"/>
      <c r="B9" s="343"/>
      <c r="C9" s="343"/>
      <c r="D9" s="343"/>
      <c r="E9" s="343"/>
      <c r="F9" s="343"/>
      <c r="G9" s="343"/>
      <c r="H9" s="343"/>
      <c r="I9" s="343"/>
      <c r="J9" s="343"/>
      <c r="K9" s="343"/>
      <c r="L9" s="346"/>
    </row>
    <row r="10" spans="1:12">
      <c r="A10" s="347" t="s">
        <v>232</v>
      </c>
      <c r="B10" s="342">
        <f t="shared" ref="B10:B20" si="0">B11+1</f>
        <v>13</v>
      </c>
      <c r="C10" s="348">
        <f t="shared" ref="C10:C20" si="1">13/B10</f>
        <v>1</v>
      </c>
      <c r="D10" s="343">
        <v>4</v>
      </c>
      <c r="E10" s="343">
        <v>2</v>
      </c>
      <c r="F10" s="343">
        <f>B10*D10</f>
        <v>52</v>
      </c>
      <c r="G10" s="343">
        <f>B10*E10</f>
        <v>26</v>
      </c>
      <c r="H10" s="348">
        <f t="shared" ref="H10:H22" si="2">C10/2 - $E$5</f>
        <v>0.41000000000000003</v>
      </c>
      <c r="I10" s="349">
        <f>H10/25.4</f>
        <v>1.614173228346457E-2</v>
      </c>
      <c r="J10" s="350">
        <v>1.4999999999999999E-2</v>
      </c>
      <c r="K10" s="349">
        <f>J10*25.4</f>
        <v>0.38099999999999995</v>
      </c>
      <c r="L10" s="351">
        <f t="shared" ref="L10:L22" si="3">C10-K10</f>
        <v>0.61899999999999999</v>
      </c>
    </row>
    <row r="11" spans="1:12">
      <c r="A11" s="347" t="s">
        <v>233</v>
      </c>
      <c r="B11" s="342">
        <f t="shared" si="0"/>
        <v>12</v>
      </c>
      <c r="C11" s="348">
        <f t="shared" si="1"/>
        <v>1.0833333333333333</v>
      </c>
      <c r="D11" s="343">
        <v>4</v>
      </c>
      <c r="E11" s="343">
        <v>2</v>
      </c>
      <c r="F11" s="343">
        <f t="shared" ref="F11:F22" si="4">B11*D11</f>
        <v>48</v>
      </c>
      <c r="G11" s="343">
        <f t="shared" ref="G11:G22" si="5">B11*E11</f>
        <v>24</v>
      </c>
      <c r="H11" s="348">
        <f t="shared" si="2"/>
        <v>0.45166666666666666</v>
      </c>
      <c r="I11" s="349">
        <f t="shared" ref="I11:I22" si="6">H11/25.4</f>
        <v>1.778215223097113E-2</v>
      </c>
      <c r="J11" s="352">
        <v>0.02</v>
      </c>
      <c r="K11" s="349">
        <f t="shared" ref="K11:K22" si="7">J11*25.4</f>
        <v>0.50800000000000001</v>
      </c>
      <c r="L11" s="351">
        <f t="shared" si="3"/>
        <v>0.57533333333333325</v>
      </c>
    </row>
    <row r="12" spans="1:12">
      <c r="A12" s="347" t="s">
        <v>234</v>
      </c>
      <c r="B12" s="342">
        <f t="shared" si="0"/>
        <v>11</v>
      </c>
      <c r="C12" s="348">
        <f t="shared" si="1"/>
        <v>1.1818181818181819</v>
      </c>
      <c r="D12" s="343">
        <v>4</v>
      </c>
      <c r="E12" s="343">
        <v>1</v>
      </c>
      <c r="F12" s="343">
        <f t="shared" si="4"/>
        <v>44</v>
      </c>
      <c r="G12" s="343">
        <f t="shared" si="5"/>
        <v>11</v>
      </c>
      <c r="H12" s="348">
        <f t="shared" si="2"/>
        <v>0.50090909090909097</v>
      </c>
      <c r="I12" s="349">
        <f t="shared" si="6"/>
        <v>1.9720830350751613E-2</v>
      </c>
      <c r="J12" s="352">
        <v>0.02</v>
      </c>
      <c r="K12" s="349">
        <f t="shared" si="7"/>
        <v>0.50800000000000001</v>
      </c>
      <c r="L12" s="351">
        <f t="shared" si="3"/>
        <v>0.67381818181818187</v>
      </c>
    </row>
    <row r="13" spans="1:12">
      <c r="A13" s="347" t="s">
        <v>235</v>
      </c>
      <c r="B13" s="342">
        <f t="shared" si="0"/>
        <v>10</v>
      </c>
      <c r="C13" s="348">
        <f t="shared" si="1"/>
        <v>1.3</v>
      </c>
      <c r="D13" s="343">
        <v>5</v>
      </c>
      <c r="E13" s="343">
        <v>0</v>
      </c>
      <c r="F13" s="343">
        <f t="shared" si="4"/>
        <v>50</v>
      </c>
      <c r="G13" s="343">
        <f t="shared" si="5"/>
        <v>0</v>
      </c>
      <c r="H13" s="348">
        <f t="shared" si="2"/>
        <v>0.56000000000000005</v>
      </c>
      <c r="I13" s="349">
        <f t="shared" si="6"/>
        <v>2.2047244094488192E-2</v>
      </c>
      <c r="J13" s="352">
        <v>0.02</v>
      </c>
      <c r="K13" s="349">
        <f t="shared" si="7"/>
        <v>0.50800000000000001</v>
      </c>
      <c r="L13" s="351">
        <f t="shared" si="3"/>
        <v>0.79200000000000004</v>
      </c>
    </row>
    <row r="14" spans="1:12">
      <c r="A14" s="347" t="s">
        <v>236</v>
      </c>
      <c r="B14" s="342">
        <f t="shared" si="0"/>
        <v>9</v>
      </c>
      <c r="C14" s="348">
        <f t="shared" si="1"/>
        <v>1.4444444444444444</v>
      </c>
      <c r="D14" s="343">
        <v>5</v>
      </c>
      <c r="E14" s="343">
        <v>0</v>
      </c>
      <c r="F14" s="343">
        <f t="shared" si="4"/>
        <v>45</v>
      </c>
      <c r="G14" s="343">
        <f t="shared" si="5"/>
        <v>0</v>
      </c>
      <c r="H14" s="348">
        <f t="shared" si="2"/>
        <v>0.63222222222222224</v>
      </c>
      <c r="I14" s="349">
        <f t="shared" si="6"/>
        <v>2.4890638670166231E-2</v>
      </c>
      <c r="J14" s="352">
        <v>2.5000000000000001E-2</v>
      </c>
      <c r="K14" s="349">
        <f t="shared" si="7"/>
        <v>0.63500000000000001</v>
      </c>
      <c r="L14" s="351">
        <f t="shared" si="3"/>
        <v>0.80944444444444441</v>
      </c>
    </row>
    <row r="15" spans="1:12">
      <c r="A15" s="347" t="s">
        <v>237</v>
      </c>
      <c r="B15" s="342">
        <f t="shared" si="0"/>
        <v>8</v>
      </c>
      <c r="C15" s="348">
        <f t="shared" si="1"/>
        <v>1.625</v>
      </c>
      <c r="D15" s="343">
        <v>5</v>
      </c>
      <c r="E15" s="343">
        <v>0</v>
      </c>
      <c r="F15" s="343">
        <f t="shared" si="4"/>
        <v>40</v>
      </c>
      <c r="G15" s="343">
        <f t="shared" si="5"/>
        <v>0</v>
      </c>
      <c r="H15" s="348">
        <f t="shared" si="2"/>
        <v>0.72250000000000003</v>
      </c>
      <c r="I15" s="349">
        <f t="shared" si="6"/>
        <v>2.8444881889763782E-2</v>
      </c>
      <c r="J15" s="352">
        <v>0.03</v>
      </c>
      <c r="K15" s="349">
        <f t="shared" si="7"/>
        <v>0.7619999999999999</v>
      </c>
      <c r="L15" s="351">
        <f t="shared" si="3"/>
        <v>0.8630000000000001</v>
      </c>
    </row>
    <row r="16" spans="1:12">
      <c r="A16" s="347" t="s">
        <v>93</v>
      </c>
      <c r="B16" s="342">
        <f t="shared" si="0"/>
        <v>7</v>
      </c>
      <c r="C16" s="348">
        <f t="shared" si="1"/>
        <v>1.8571428571428572</v>
      </c>
      <c r="D16" s="343">
        <v>4</v>
      </c>
      <c r="E16" s="343">
        <v>2</v>
      </c>
      <c r="F16" s="343">
        <f t="shared" si="4"/>
        <v>28</v>
      </c>
      <c r="G16" s="343">
        <f t="shared" si="5"/>
        <v>14</v>
      </c>
      <c r="H16" s="348">
        <f t="shared" si="2"/>
        <v>0.83857142857142863</v>
      </c>
      <c r="I16" s="349">
        <f t="shared" si="6"/>
        <v>3.3014623172103491E-2</v>
      </c>
      <c r="J16" s="352">
        <v>3.5000000000000003E-2</v>
      </c>
      <c r="K16" s="349">
        <f t="shared" si="7"/>
        <v>0.88900000000000001</v>
      </c>
      <c r="L16" s="351">
        <f t="shared" si="3"/>
        <v>0.96814285714285719</v>
      </c>
    </row>
    <row r="17" spans="1:12">
      <c r="A17" s="347" t="s">
        <v>238</v>
      </c>
      <c r="B17" s="342">
        <f t="shared" si="0"/>
        <v>6</v>
      </c>
      <c r="C17" s="348">
        <f t="shared" si="1"/>
        <v>2.1666666666666665</v>
      </c>
      <c r="D17" s="343">
        <v>4</v>
      </c>
      <c r="E17" s="343">
        <v>3</v>
      </c>
      <c r="F17" s="343">
        <f t="shared" si="4"/>
        <v>24</v>
      </c>
      <c r="G17" s="343">
        <f t="shared" si="5"/>
        <v>18</v>
      </c>
      <c r="H17" s="348">
        <f t="shared" si="2"/>
        <v>0.99333333333333329</v>
      </c>
      <c r="I17" s="349">
        <f t="shared" si="6"/>
        <v>3.910761154855643E-2</v>
      </c>
      <c r="J17" s="352">
        <v>0.04</v>
      </c>
      <c r="K17" s="349">
        <f t="shared" si="7"/>
        <v>1.016</v>
      </c>
      <c r="L17" s="351">
        <f t="shared" si="3"/>
        <v>1.1506666666666665</v>
      </c>
    </row>
    <row r="18" spans="1:12">
      <c r="A18" s="347" t="s">
        <v>239</v>
      </c>
      <c r="B18" s="342">
        <f t="shared" si="0"/>
        <v>5</v>
      </c>
      <c r="C18" s="348">
        <f t="shared" si="1"/>
        <v>2.6</v>
      </c>
      <c r="D18" s="343">
        <v>4</v>
      </c>
      <c r="E18" s="343">
        <v>2</v>
      </c>
      <c r="F18" s="343">
        <f t="shared" si="4"/>
        <v>20</v>
      </c>
      <c r="G18" s="343">
        <f t="shared" si="5"/>
        <v>10</v>
      </c>
      <c r="H18" s="348">
        <f t="shared" si="2"/>
        <v>1.21</v>
      </c>
      <c r="I18" s="349">
        <f t="shared" si="6"/>
        <v>4.7637795275590554E-2</v>
      </c>
      <c r="J18" s="352">
        <v>0.05</v>
      </c>
      <c r="K18" s="349">
        <f t="shared" si="7"/>
        <v>1.27</v>
      </c>
      <c r="L18" s="351">
        <f t="shared" si="3"/>
        <v>1.33</v>
      </c>
    </row>
    <row r="19" spans="1:12">
      <c r="A19" s="347" t="s">
        <v>240</v>
      </c>
      <c r="B19" s="342">
        <f t="shared" si="0"/>
        <v>4</v>
      </c>
      <c r="C19" s="348">
        <f t="shared" si="1"/>
        <v>3.25</v>
      </c>
      <c r="D19" s="343">
        <v>5</v>
      </c>
      <c r="E19" s="343">
        <v>0</v>
      </c>
      <c r="F19" s="343">
        <f t="shared" si="4"/>
        <v>20</v>
      </c>
      <c r="G19" s="343">
        <f t="shared" si="5"/>
        <v>0</v>
      </c>
      <c r="H19" s="348">
        <f t="shared" si="2"/>
        <v>1.5349999999999999</v>
      </c>
      <c r="I19" s="349">
        <f t="shared" si="6"/>
        <v>6.0433070866141733E-2</v>
      </c>
      <c r="J19" s="352">
        <v>0.06</v>
      </c>
      <c r="K19" s="349">
        <f t="shared" si="7"/>
        <v>1.5239999999999998</v>
      </c>
      <c r="L19" s="351">
        <f t="shared" si="3"/>
        <v>1.7260000000000002</v>
      </c>
    </row>
    <row r="20" spans="1:12">
      <c r="A20" s="347" t="s">
        <v>241</v>
      </c>
      <c r="B20" s="342">
        <f t="shared" si="0"/>
        <v>3</v>
      </c>
      <c r="C20" s="348">
        <f t="shared" si="1"/>
        <v>4.333333333333333</v>
      </c>
      <c r="D20" s="343">
        <v>5</v>
      </c>
      <c r="E20" s="343">
        <v>0</v>
      </c>
      <c r="F20" s="343">
        <f t="shared" si="4"/>
        <v>15</v>
      </c>
      <c r="G20" s="343">
        <f t="shared" si="5"/>
        <v>0</v>
      </c>
      <c r="H20" s="348">
        <f t="shared" si="2"/>
        <v>2.0766666666666667</v>
      </c>
      <c r="I20" s="349">
        <f t="shared" si="6"/>
        <v>8.1758530183727043E-2</v>
      </c>
      <c r="J20" s="352">
        <v>0.08</v>
      </c>
      <c r="K20" s="349">
        <f t="shared" si="7"/>
        <v>2.032</v>
      </c>
      <c r="L20" s="351">
        <f t="shared" si="3"/>
        <v>2.301333333333333</v>
      </c>
    </row>
    <row r="21" spans="1:12">
      <c r="A21" s="347" t="s">
        <v>242</v>
      </c>
      <c r="B21" s="342">
        <f>B22+1</f>
        <v>2</v>
      </c>
      <c r="C21" s="348">
        <f>13/B21</f>
        <v>6.5</v>
      </c>
      <c r="D21" s="343">
        <v>5</v>
      </c>
      <c r="E21" s="343">
        <v>0</v>
      </c>
      <c r="F21" s="343">
        <f t="shared" si="4"/>
        <v>10</v>
      </c>
      <c r="G21" s="343">
        <f t="shared" si="5"/>
        <v>0</v>
      </c>
      <c r="H21" s="348">
        <f t="shared" si="2"/>
        <v>3.16</v>
      </c>
      <c r="I21" s="349">
        <f t="shared" si="6"/>
        <v>0.12440944881889765</v>
      </c>
      <c r="J21" s="352">
        <v>0.125</v>
      </c>
      <c r="K21" s="349">
        <f t="shared" si="7"/>
        <v>3.1749999999999998</v>
      </c>
      <c r="L21" s="351">
        <f t="shared" si="3"/>
        <v>3.3250000000000002</v>
      </c>
    </row>
    <row r="22" spans="1:12" ht="13" thickBot="1">
      <c r="A22" s="353" t="s">
        <v>20</v>
      </c>
      <c r="B22" s="354">
        <v>1</v>
      </c>
      <c r="C22" s="355">
        <f>13/B22</f>
        <v>13</v>
      </c>
      <c r="D22" s="356">
        <v>4</v>
      </c>
      <c r="E22" s="356">
        <v>1</v>
      </c>
      <c r="F22" s="356">
        <f t="shared" si="4"/>
        <v>4</v>
      </c>
      <c r="G22" s="356">
        <f t="shared" si="5"/>
        <v>1</v>
      </c>
      <c r="H22" s="355">
        <f t="shared" si="2"/>
        <v>6.41</v>
      </c>
      <c r="I22" s="357">
        <f t="shared" si="6"/>
        <v>0.25236220472440946</v>
      </c>
      <c r="J22" s="358">
        <v>0.25</v>
      </c>
      <c r="K22" s="357">
        <f t="shared" si="7"/>
        <v>6.35</v>
      </c>
      <c r="L22" s="359">
        <f t="shared" si="3"/>
        <v>6.65</v>
      </c>
    </row>
    <row r="23" spans="1:12">
      <c r="A23" s="360"/>
      <c r="B23" s="360"/>
      <c r="C23" s="361"/>
      <c r="H23" s="361"/>
      <c r="I23" s="362"/>
      <c r="J23" s="362"/>
      <c r="K23" s="362"/>
      <c r="L23" s="362"/>
    </row>
    <row r="24" spans="1:12">
      <c r="A24" s="360" t="s">
        <v>243</v>
      </c>
      <c r="D24" s="334">
        <f>SUM(D10:D22)</f>
        <v>58</v>
      </c>
      <c r="E24" s="334">
        <f>SUM(E10:E22)</f>
        <v>13</v>
      </c>
      <c r="F24" s="334">
        <f>SUM(F10:F22)</f>
        <v>400</v>
      </c>
      <c r="G24" s="334">
        <f>SUM(G10:G22)</f>
        <v>104</v>
      </c>
    </row>
    <row r="25" spans="1:12" ht="13" thickBot="1"/>
    <row r="26" spans="1:12">
      <c r="A26" s="360"/>
      <c r="B26" s="363" t="s">
        <v>227</v>
      </c>
      <c r="C26" s="364" t="s">
        <v>16</v>
      </c>
      <c r="D26" s="364" t="s">
        <v>244</v>
      </c>
      <c r="E26" s="364" t="s">
        <v>245</v>
      </c>
      <c r="F26" s="364" t="s">
        <v>246</v>
      </c>
      <c r="G26" s="364" t="s">
        <v>247</v>
      </c>
      <c r="H26" s="365" t="s">
        <v>248</v>
      </c>
    </row>
    <row r="27" spans="1:12">
      <c r="A27" s="362"/>
      <c r="B27" s="366">
        <v>1.4999999999999999E-2</v>
      </c>
      <c r="C27" s="343" t="s">
        <v>249</v>
      </c>
      <c r="D27" s="342">
        <v>52</v>
      </c>
      <c r="E27" s="342">
        <v>2</v>
      </c>
      <c r="F27" s="342">
        <f>D27+E27</f>
        <v>54</v>
      </c>
      <c r="G27" s="342">
        <v>0</v>
      </c>
      <c r="H27" s="345">
        <f>F27-G27</f>
        <v>54</v>
      </c>
    </row>
    <row r="28" spans="1:12">
      <c r="A28" s="362"/>
      <c r="B28" s="366">
        <f>B27</f>
        <v>1.4999999999999999E-2</v>
      </c>
      <c r="C28" s="343" t="s">
        <v>250</v>
      </c>
      <c r="D28" s="342">
        <v>26</v>
      </c>
      <c r="E28" s="342">
        <v>2</v>
      </c>
      <c r="F28" s="342">
        <f t="shared" ref="F28:F48" si="8">D28+E28</f>
        <v>28</v>
      </c>
      <c r="G28" s="342">
        <v>0</v>
      </c>
      <c r="H28" s="345">
        <f t="shared" ref="H28:H48" si="9">F28-G28</f>
        <v>28</v>
      </c>
    </row>
    <row r="29" spans="1:12">
      <c r="A29" s="362"/>
      <c r="B29" s="366">
        <v>0.02</v>
      </c>
      <c r="C29" s="343" t="s">
        <v>249</v>
      </c>
      <c r="D29" s="342">
        <v>144</v>
      </c>
      <c r="E29" s="342">
        <v>10</v>
      </c>
      <c r="F29" s="342">
        <f t="shared" si="8"/>
        <v>154</v>
      </c>
      <c r="G29" s="342">
        <v>1</v>
      </c>
      <c r="H29" s="345">
        <f t="shared" si="9"/>
        <v>153</v>
      </c>
    </row>
    <row r="30" spans="1:12">
      <c r="A30" s="362"/>
      <c r="B30" s="366">
        <f>B29</f>
        <v>0.02</v>
      </c>
      <c r="C30" s="343" t="s">
        <v>250</v>
      </c>
      <c r="D30" s="342">
        <v>35</v>
      </c>
      <c r="E30" s="342">
        <v>2</v>
      </c>
      <c r="F30" s="342">
        <f t="shared" si="8"/>
        <v>37</v>
      </c>
      <c r="G30" s="342">
        <v>0</v>
      </c>
      <c r="H30" s="345">
        <f t="shared" si="9"/>
        <v>37</v>
      </c>
    </row>
    <row r="31" spans="1:12">
      <c r="A31" s="362"/>
      <c r="B31" s="366">
        <v>2.5000000000000001E-2</v>
      </c>
      <c r="C31" s="343" t="s">
        <v>249</v>
      </c>
      <c r="D31" s="342">
        <v>28</v>
      </c>
      <c r="E31" s="342">
        <v>2</v>
      </c>
      <c r="F31" s="342">
        <f t="shared" si="8"/>
        <v>30</v>
      </c>
      <c r="G31" s="342">
        <v>1</v>
      </c>
      <c r="H31" s="345">
        <f t="shared" si="9"/>
        <v>29</v>
      </c>
    </row>
    <row r="32" spans="1:12">
      <c r="A32" s="362"/>
      <c r="B32" s="366">
        <f>B31</f>
        <v>2.5000000000000001E-2</v>
      </c>
      <c r="C32" s="343" t="s">
        <v>250</v>
      </c>
      <c r="D32" s="367">
        <v>0</v>
      </c>
      <c r="E32" s="367">
        <v>0</v>
      </c>
      <c r="F32" s="367">
        <f t="shared" si="8"/>
        <v>0</v>
      </c>
      <c r="G32" s="367">
        <v>0</v>
      </c>
      <c r="H32" s="368">
        <f t="shared" si="9"/>
        <v>0</v>
      </c>
    </row>
    <row r="33" spans="1:8">
      <c r="A33" s="362"/>
      <c r="B33" s="366">
        <v>0.03</v>
      </c>
      <c r="C33" s="343" t="s">
        <v>249</v>
      </c>
      <c r="D33" s="342">
        <v>40</v>
      </c>
      <c r="E33" s="342">
        <v>2</v>
      </c>
      <c r="F33" s="342">
        <f t="shared" si="8"/>
        <v>42</v>
      </c>
      <c r="G33" s="342">
        <v>10</v>
      </c>
      <c r="H33" s="345">
        <f t="shared" si="9"/>
        <v>32</v>
      </c>
    </row>
    <row r="34" spans="1:8">
      <c r="A34" s="362"/>
      <c r="B34" s="366">
        <f>B33</f>
        <v>0.03</v>
      </c>
      <c r="C34" s="343" t="s">
        <v>250</v>
      </c>
      <c r="D34" s="367">
        <v>0</v>
      </c>
      <c r="E34" s="367">
        <v>0</v>
      </c>
      <c r="F34" s="367">
        <f t="shared" si="8"/>
        <v>0</v>
      </c>
      <c r="G34" s="367">
        <v>0</v>
      </c>
      <c r="H34" s="368">
        <f t="shared" si="9"/>
        <v>0</v>
      </c>
    </row>
    <row r="35" spans="1:8">
      <c r="A35" s="362"/>
      <c r="B35" s="366">
        <v>3.5000000000000003E-2</v>
      </c>
      <c r="C35" s="343" t="s">
        <v>249</v>
      </c>
      <c r="D35" s="342">
        <v>35</v>
      </c>
      <c r="E35" s="342">
        <v>2</v>
      </c>
      <c r="F35" s="342">
        <f t="shared" si="8"/>
        <v>37</v>
      </c>
      <c r="G35" s="342">
        <v>0</v>
      </c>
      <c r="H35" s="345">
        <f t="shared" si="9"/>
        <v>37</v>
      </c>
    </row>
    <row r="36" spans="1:8">
      <c r="A36" s="362"/>
      <c r="B36" s="366">
        <f>B35</f>
        <v>3.5000000000000003E-2</v>
      </c>
      <c r="C36" s="343" t="s">
        <v>250</v>
      </c>
      <c r="D36" s="342">
        <v>14</v>
      </c>
      <c r="E36" s="342">
        <v>1</v>
      </c>
      <c r="F36" s="342">
        <f t="shared" si="8"/>
        <v>15</v>
      </c>
      <c r="G36" s="342">
        <v>0</v>
      </c>
      <c r="H36" s="345">
        <f t="shared" si="9"/>
        <v>15</v>
      </c>
    </row>
    <row r="37" spans="1:8">
      <c r="A37" s="362"/>
      <c r="B37" s="366">
        <v>0.04</v>
      </c>
      <c r="C37" s="343" t="s">
        <v>249</v>
      </c>
      <c r="D37" s="342">
        <v>24</v>
      </c>
      <c r="E37" s="342">
        <v>1</v>
      </c>
      <c r="F37" s="342">
        <f t="shared" si="8"/>
        <v>25</v>
      </c>
      <c r="G37" s="342">
        <v>1</v>
      </c>
      <c r="H37" s="345">
        <f t="shared" si="9"/>
        <v>24</v>
      </c>
    </row>
    <row r="38" spans="1:8">
      <c r="A38" s="362"/>
      <c r="B38" s="366">
        <f>B37</f>
        <v>0.04</v>
      </c>
      <c r="C38" s="343" t="s">
        <v>250</v>
      </c>
      <c r="D38" s="342">
        <v>18</v>
      </c>
      <c r="E38" s="342">
        <v>1</v>
      </c>
      <c r="F38" s="342">
        <f t="shared" si="8"/>
        <v>19</v>
      </c>
      <c r="G38" s="342">
        <v>0</v>
      </c>
      <c r="H38" s="345">
        <f t="shared" si="9"/>
        <v>19</v>
      </c>
    </row>
    <row r="39" spans="1:8">
      <c r="A39" s="362"/>
      <c r="B39" s="366">
        <v>0.05</v>
      </c>
      <c r="C39" s="343" t="s">
        <v>249</v>
      </c>
      <c r="D39" s="342">
        <v>20</v>
      </c>
      <c r="E39" s="342">
        <v>1</v>
      </c>
      <c r="F39" s="342">
        <f t="shared" si="8"/>
        <v>21</v>
      </c>
      <c r="G39" s="342">
        <v>1</v>
      </c>
      <c r="H39" s="345">
        <f t="shared" si="9"/>
        <v>20</v>
      </c>
    </row>
    <row r="40" spans="1:8">
      <c r="A40" s="362"/>
      <c r="B40" s="366">
        <f>B39</f>
        <v>0.05</v>
      </c>
      <c r="C40" s="343" t="s">
        <v>250</v>
      </c>
      <c r="D40" s="342">
        <v>10</v>
      </c>
      <c r="E40" s="342">
        <v>1</v>
      </c>
      <c r="F40" s="342">
        <f t="shared" si="8"/>
        <v>11</v>
      </c>
      <c r="G40" s="342">
        <v>0</v>
      </c>
      <c r="H40" s="345">
        <f t="shared" si="9"/>
        <v>11</v>
      </c>
    </row>
    <row r="41" spans="1:8">
      <c r="A41" s="362"/>
      <c r="B41" s="366">
        <v>0.06</v>
      </c>
      <c r="C41" s="343" t="s">
        <v>249</v>
      </c>
      <c r="D41" s="342">
        <v>15</v>
      </c>
      <c r="E41" s="342">
        <v>1</v>
      </c>
      <c r="F41" s="342">
        <f t="shared" si="8"/>
        <v>16</v>
      </c>
      <c r="G41" s="342">
        <v>0</v>
      </c>
      <c r="H41" s="345">
        <f t="shared" si="9"/>
        <v>16</v>
      </c>
    </row>
    <row r="42" spans="1:8">
      <c r="A42" s="362"/>
      <c r="B42" s="369">
        <f>B41</f>
        <v>0.06</v>
      </c>
      <c r="C42" s="370" t="s">
        <v>250</v>
      </c>
      <c r="D42" s="367">
        <v>0</v>
      </c>
      <c r="E42" s="367">
        <v>0</v>
      </c>
      <c r="F42" s="367">
        <f t="shared" si="8"/>
        <v>0</v>
      </c>
      <c r="G42" s="367">
        <v>0</v>
      </c>
      <c r="H42" s="368">
        <f t="shared" si="9"/>
        <v>0</v>
      </c>
    </row>
    <row r="43" spans="1:8">
      <c r="A43" s="362"/>
      <c r="B43" s="366">
        <v>0.08</v>
      </c>
      <c r="C43" s="343" t="s">
        <v>249</v>
      </c>
      <c r="D43" s="342">
        <v>15</v>
      </c>
      <c r="E43" s="342">
        <v>1</v>
      </c>
      <c r="F43" s="342">
        <f t="shared" si="8"/>
        <v>16</v>
      </c>
      <c r="G43" s="342">
        <v>1</v>
      </c>
      <c r="H43" s="345">
        <f t="shared" si="9"/>
        <v>15</v>
      </c>
    </row>
    <row r="44" spans="1:8">
      <c r="A44" s="362"/>
      <c r="B44" s="366">
        <f>B43</f>
        <v>0.08</v>
      </c>
      <c r="C44" s="343" t="s">
        <v>250</v>
      </c>
      <c r="D44" s="367">
        <v>0</v>
      </c>
      <c r="E44" s="367">
        <v>0</v>
      </c>
      <c r="F44" s="367">
        <f t="shared" si="8"/>
        <v>0</v>
      </c>
      <c r="G44" s="367">
        <v>0</v>
      </c>
      <c r="H44" s="368">
        <f t="shared" si="9"/>
        <v>0</v>
      </c>
    </row>
    <row r="45" spans="1:8">
      <c r="A45" s="362"/>
      <c r="B45" s="366">
        <v>0.125</v>
      </c>
      <c r="C45" s="343" t="s">
        <v>249</v>
      </c>
      <c r="D45" s="342">
        <v>10</v>
      </c>
      <c r="E45" s="342">
        <v>1</v>
      </c>
      <c r="F45" s="342">
        <f t="shared" si="8"/>
        <v>11</v>
      </c>
      <c r="G45" s="342">
        <v>0</v>
      </c>
      <c r="H45" s="345">
        <f t="shared" si="9"/>
        <v>11</v>
      </c>
    </row>
    <row r="46" spans="1:8">
      <c r="A46" s="362"/>
      <c r="B46" s="366">
        <f>B45</f>
        <v>0.125</v>
      </c>
      <c r="C46" s="343" t="s">
        <v>250</v>
      </c>
      <c r="D46" s="367">
        <v>0</v>
      </c>
      <c r="E46" s="367">
        <v>0</v>
      </c>
      <c r="F46" s="367">
        <f t="shared" si="8"/>
        <v>0</v>
      </c>
      <c r="G46" s="367">
        <v>0</v>
      </c>
      <c r="H46" s="368">
        <f t="shared" si="9"/>
        <v>0</v>
      </c>
    </row>
    <row r="47" spans="1:8">
      <c r="A47" s="362"/>
      <c r="B47" s="366">
        <v>0.25</v>
      </c>
      <c r="C47" s="343" t="s">
        <v>249</v>
      </c>
      <c r="D47" s="342">
        <v>4</v>
      </c>
      <c r="E47" s="342">
        <v>1</v>
      </c>
      <c r="F47" s="342">
        <f t="shared" si="8"/>
        <v>5</v>
      </c>
      <c r="G47" s="342">
        <v>0</v>
      </c>
      <c r="H47" s="345">
        <f t="shared" si="9"/>
        <v>5</v>
      </c>
    </row>
    <row r="48" spans="1:8">
      <c r="A48" s="362"/>
      <c r="B48" s="366">
        <f>B47</f>
        <v>0.25</v>
      </c>
      <c r="C48" s="343" t="s">
        <v>250</v>
      </c>
      <c r="D48" s="342">
        <v>1</v>
      </c>
      <c r="E48" s="342">
        <v>1</v>
      </c>
      <c r="F48" s="342">
        <f t="shared" si="8"/>
        <v>2</v>
      </c>
      <c r="G48" s="342">
        <v>0</v>
      </c>
      <c r="H48" s="345">
        <f t="shared" si="9"/>
        <v>2</v>
      </c>
    </row>
    <row r="49" spans="1:8">
      <c r="A49" s="360"/>
      <c r="B49" s="347"/>
      <c r="C49" s="343"/>
      <c r="D49" s="342"/>
      <c r="E49" s="342"/>
      <c r="F49" s="342"/>
      <c r="G49" s="342"/>
      <c r="H49" s="346"/>
    </row>
    <row r="50" spans="1:8" ht="13" thickBot="1">
      <c r="A50" s="360"/>
      <c r="B50" s="353"/>
      <c r="C50" s="356"/>
      <c r="D50" s="354">
        <f>SUM(D27:D48)</f>
        <v>491</v>
      </c>
      <c r="E50" s="354">
        <f>SUM(E27:E48)</f>
        <v>32</v>
      </c>
      <c r="F50" s="354">
        <f>SUM(F27:F48)</f>
        <v>523</v>
      </c>
      <c r="G50" s="354">
        <f>SUM(G27:G48)</f>
        <v>15</v>
      </c>
      <c r="H50" s="371">
        <f>SUM(H27:H48)</f>
        <v>508</v>
      </c>
    </row>
    <row r="51" spans="1:8">
      <c r="A51" s="362"/>
    </row>
    <row r="53" spans="1:8" ht="13" thickBot="1">
      <c r="A53" s="334" t="s">
        <v>251</v>
      </c>
      <c r="D53" s="334" t="s">
        <v>251</v>
      </c>
      <c r="E53" s="334" t="s">
        <v>252</v>
      </c>
      <c r="G53" s="334" t="s">
        <v>259</v>
      </c>
    </row>
    <row r="54" spans="1:8">
      <c r="B54" s="372" t="s">
        <v>107</v>
      </c>
      <c r="C54" s="373" t="s">
        <v>159</v>
      </c>
      <c r="E54" s="334" t="s">
        <v>232</v>
      </c>
    </row>
    <row r="55" spans="1:8">
      <c r="B55" s="374" t="s">
        <v>122</v>
      </c>
      <c r="C55" s="375" t="s">
        <v>170</v>
      </c>
      <c r="E55" s="334" t="s">
        <v>234</v>
      </c>
      <c r="G55" s="334" t="s">
        <v>260</v>
      </c>
      <c r="H55" s="334" t="s">
        <v>261</v>
      </c>
    </row>
    <row r="56" spans="1:8">
      <c r="B56" s="374" t="s">
        <v>133</v>
      </c>
      <c r="C56" s="375" t="s">
        <v>177</v>
      </c>
      <c r="E56" s="334" t="s">
        <v>236</v>
      </c>
      <c r="G56" s="334" t="s">
        <v>262</v>
      </c>
      <c r="H56" s="334" t="s">
        <v>263</v>
      </c>
    </row>
    <row r="57" spans="1:8">
      <c r="B57" s="376" t="s">
        <v>137</v>
      </c>
      <c r="C57" s="377" t="s">
        <v>188</v>
      </c>
      <c r="E57" s="334" t="s">
        <v>93</v>
      </c>
      <c r="G57" s="334" t="s">
        <v>264</v>
      </c>
      <c r="H57" s="334" t="s">
        <v>270</v>
      </c>
    </row>
    <row r="58" spans="1:8">
      <c r="B58" s="376" t="s">
        <v>148</v>
      </c>
      <c r="C58" s="377" t="s">
        <v>194</v>
      </c>
      <c r="E58" s="334" t="s">
        <v>239</v>
      </c>
    </row>
    <row r="59" spans="1:8">
      <c r="B59" s="376" t="s">
        <v>152</v>
      </c>
      <c r="C59" s="377" t="s">
        <v>199</v>
      </c>
      <c r="E59" s="334" t="s">
        <v>241</v>
      </c>
    </row>
    <row r="60" spans="1:8">
      <c r="B60" s="376" t="s">
        <v>158</v>
      </c>
      <c r="C60" s="377" t="s">
        <v>205</v>
      </c>
      <c r="E60" s="334" t="s">
        <v>20</v>
      </c>
    </row>
    <row r="61" spans="1:8">
      <c r="B61" s="376" t="s">
        <v>169</v>
      </c>
      <c r="C61" s="377" t="s">
        <v>113</v>
      </c>
      <c r="E61" s="334" t="s">
        <v>242</v>
      </c>
    </row>
    <row r="62" spans="1:8">
      <c r="B62" s="376" t="s">
        <v>176</v>
      </c>
      <c r="C62" s="377" t="s">
        <v>123</v>
      </c>
      <c r="E62" s="334" t="s">
        <v>238</v>
      </c>
    </row>
    <row r="63" spans="1:8">
      <c r="B63" s="376" t="s">
        <v>185</v>
      </c>
      <c r="C63" s="377" t="s">
        <v>135</v>
      </c>
      <c r="E63" s="334" t="s">
        <v>237</v>
      </c>
    </row>
    <row r="64" spans="1:8">
      <c r="B64" s="376" t="s">
        <v>192</v>
      </c>
      <c r="C64" s="377" t="s">
        <v>141</v>
      </c>
      <c r="E64" s="334" t="s">
        <v>235</v>
      </c>
    </row>
    <row r="65" spans="1:7">
      <c r="B65" s="376" t="s">
        <v>197</v>
      </c>
      <c r="C65" s="377" t="s">
        <v>147</v>
      </c>
      <c r="E65" s="334" t="s">
        <v>233</v>
      </c>
    </row>
    <row r="66" spans="1:7">
      <c r="B66" s="376" t="s">
        <v>203</v>
      </c>
      <c r="C66" s="377" t="s">
        <v>155</v>
      </c>
      <c r="E66" s="334" t="s">
        <v>232</v>
      </c>
    </row>
    <row r="67" spans="1:7">
      <c r="B67" s="376" t="s">
        <v>107</v>
      </c>
      <c r="C67" s="377" t="s">
        <v>160</v>
      </c>
      <c r="E67" s="334" t="s">
        <v>234</v>
      </c>
      <c r="G67" s="334" t="s">
        <v>271</v>
      </c>
    </row>
    <row r="68" spans="1:7">
      <c r="A68" s="334" t="s">
        <v>253</v>
      </c>
      <c r="B68" s="376" t="s">
        <v>121</v>
      </c>
      <c r="C68" s="377" t="s">
        <v>171</v>
      </c>
      <c r="E68" s="334" t="s">
        <v>236</v>
      </c>
    </row>
    <row r="69" spans="1:7">
      <c r="A69" s="334" t="s">
        <v>242</v>
      </c>
      <c r="B69" s="378" t="s">
        <v>134</v>
      </c>
      <c r="C69" s="379" t="s">
        <v>178</v>
      </c>
      <c r="E69" s="334" t="s">
        <v>93</v>
      </c>
    </row>
    <row r="70" spans="1:7">
      <c r="B70" s="378" t="s">
        <v>139</v>
      </c>
      <c r="C70" s="379" t="s">
        <v>187</v>
      </c>
      <c r="E70" s="334" t="s">
        <v>239</v>
      </c>
    </row>
    <row r="71" spans="1:7">
      <c r="B71" s="378" t="s">
        <v>143</v>
      </c>
      <c r="C71" s="379" t="s">
        <v>195</v>
      </c>
      <c r="E71" s="334" t="s">
        <v>241</v>
      </c>
    </row>
    <row r="72" spans="1:7">
      <c r="B72" s="378" t="s">
        <v>153</v>
      </c>
      <c r="C72" s="379" t="s">
        <v>200</v>
      </c>
      <c r="E72" s="334" t="s">
        <v>20</v>
      </c>
    </row>
    <row r="73" spans="1:7">
      <c r="B73" s="378" t="s">
        <v>159</v>
      </c>
      <c r="C73" s="379" t="s">
        <v>206</v>
      </c>
      <c r="E73" s="334" t="s">
        <v>242</v>
      </c>
    </row>
    <row r="74" spans="1:7">
      <c r="B74" s="376" t="s">
        <v>170</v>
      </c>
      <c r="C74" s="377" t="s">
        <v>114</v>
      </c>
      <c r="D74" s="334" t="s">
        <v>254</v>
      </c>
      <c r="E74" s="334" t="s">
        <v>238</v>
      </c>
    </row>
    <row r="75" spans="1:7">
      <c r="B75" s="376" t="s">
        <v>177</v>
      </c>
      <c r="C75" s="377" t="s">
        <v>124</v>
      </c>
      <c r="D75" s="334" t="s">
        <v>255</v>
      </c>
      <c r="E75" s="334" t="s">
        <v>237</v>
      </c>
    </row>
    <row r="76" spans="1:7">
      <c r="B76" s="376" t="s">
        <v>186</v>
      </c>
      <c r="C76" s="377" t="s">
        <v>136</v>
      </c>
      <c r="E76" s="334" t="s">
        <v>235</v>
      </c>
    </row>
    <row r="77" spans="1:7">
      <c r="B77" s="376" t="s">
        <v>193</v>
      </c>
      <c r="C77" s="377" t="s">
        <v>138</v>
      </c>
      <c r="D77" s="334" t="s">
        <v>255</v>
      </c>
      <c r="E77" s="334" t="s">
        <v>233</v>
      </c>
    </row>
    <row r="78" spans="1:7">
      <c r="B78" s="376" t="s">
        <v>198</v>
      </c>
      <c r="C78" s="377" t="s">
        <v>146</v>
      </c>
      <c r="D78" s="334" t="s">
        <v>256</v>
      </c>
      <c r="E78" s="334" t="s">
        <v>232</v>
      </c>
    </row>
    <row r="79" spans="1:7">
      <c r="B79" s="376" t="s">
        <v>204</v>
      </c>
      <c r="C79" s="377" t="s">
        <v>156</v>
      </c>
      <c r="E79" s="334" t="s">
        <v>234</v>
      </c>
    </row>
    <row r="80" spans="1:7">
      <c r="A80" s="334" t="s">
        <v>255</v>
      </c>
      <c r="B80" s="376" t="s">
        <v>112</v>
      </c>
      <c r="C80" s="377" t="s">
        <v>161</v>
      </c>
      <c r="E80" s="334" t="s">
        <v>236</v>
      </c>
    </row>
    <row r="81" spans="1:5">
      <c r="B81" s="376" t="s">
        <v>122</v>
      </c>
      <c r="C81" s="377" t="s">
        <v>172</v>
      </c>
      <c r="E81" s="334" t="s">
        <v>93</v>
      </c>
    </row>
    <row r="82" spans="1:5">
      <c r="B82" s="376" t="s">
        <v>133</v>
      </c>
      <c r="C82" s="377" t="s">
        <v>179</v>
      </c>
      <c r="E82" s="334" t="s">
        <v>239</v>
      </c>
    </row>
    <row r="83" spans="1:5">
      <c r="A83" s="334" t="s">
        <v>257</v>
      </c>
      <c r="B83" s="376" t="s">
        <v>140</v>
      </c>
      <c r="C83" s="377" t="s">
        <v>190</v>
      </c>
      <c r="E83" s="334" t="s">
        <v>241</v>
      </c>
    </row>
    <row r="84" spans="1:5">
      <c r="B84" s="376" t="s">
        <v>145</v>
      </c>
      <c r="C84" s="377" t="s">
        <v>196</v>
      </c>
      <c r="E84" s="334" t="s">
        <v>20</v>
      </c>
    </row>
    <row r="85" spans="1:5">
      <c r="B85" s="376" t="s">
        <v>154</v>
      </c>
      <c r="C85" s="377" t="s">
        <v>201</v>
      </c>
      <c r="E85" s="334" t="s">
        <v>242</v>
      </c>
    </row>
    <row r="86" spans="1:5">
      <c r="B86" s="374" t="s">
        <v>158</v>
      </c>
      <c r="C86" s="375" t="s">
        <v>258</v>
      </c>
      <c r="E86" s="334" t="s">
        <v>238</v>
      </c>
    </row>
    <row r="87" spans="1:5">
      <c r="B87" s="374" t="s">
        <v>169</v>
      </c>
      <c r="C87" s="375" t="s">
        <v>112</v>
      </c>
      <c r="E87" s="334" t="s">
        <v>237</v>
      </c>
    </row>
    <row r="88" spans="1:5" ht="13" thickBot="1">
      <c r="B88" s="380" t="s">
        <v>176</v>
      </c>
      <c r="C88" s="381" t="s">
        <v>121</v>
      </c>
      <c r="E88" s="334" t="s">
        <v>235</v>
      </c>
    </row>
    <row r="92" spans="1:5">
      <c r="A92" s="334" t="s">
        <v>265</v>
      </c>
    </row>
  </sheetData>
  <phoneticPr fontId="16" type="noConversion"/>
  <pageMargins left="0.75" right="0.75" top="1" bottom="1" header="0.5" footer="0.5"/>
  <pageSetup scale="57" orientation="portrait"/>
  <extLst>
    <ext xmlns:mx="http://schemas.microsoft.com/office/mac/excel/2008/main" uri="{64002731-A6B0-56B0-2670-7721B7C09600}">
      <mx:PLV Mode="1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6"/>
  <sheetViews>
    <sheetView topLeftCell="A4" zoomScale="80" zoomScaleNormal="80" zoomScalePageLayoutView="80" workbookViewId="0">
      <selection activeCell="C46" sqref="C46"/>
    </sheetView>
  </sheetViews>
  <sheetFormatPr baseColWidth="10" defaultColWidth="8.83203125" defaultRowHeight="14" x14ac:dyDescent="0"/>
  <cols>
    <col min="1" max="1" width="6.33203125" style="1" customWidth="1"/>
    <col min="2" max="2" width="16.1640625" style="1" customWidth="1"/>
    <col min="3" max="4" width="5.1640625" style="1" customWidth="1"/>
    <col min="5" max="9" width="5.5" style="1" customWidth="1"/>
    <col min="10" max="10" width="5.5" style="1" bestFit="1" customWidth="1"/>
    <col min="11" max="12" width="6.83203125" style="1" customWidth="1"/>
    <col min="13" max="16" width="3.6640625" style="1" customWidth="1"/>
    <col min="17" max="17" width="10.33203125" style="1" customWidth="1"/>
    <col min="18" max="18" width="5.5" style="1" customWidth="1"/>
    <col min="19" max="19" width="5.1640625" style="1" customWidth="1"/>
    <col min="20" max="20" width="9.83203125" style="1" customWidth="1"/>
    <col min="21" max="21" width="10.5" style="1" bestFit="1" customWidth="1"/>
    <col min="22" max="22" width="10.1640625" style="1" bestFit="1" customWidth="1"/>
    <col min="23" max="23" width="9.33203125" style="1" customWidth="1"/>
    <col min="24" max="24" width="9.5" style="1" customWidth="1"/>
    <col min="25" max="25" width="8.83203125" style="1" customWidth="1"/>
    <col min="26" max="16384" width="8.83203125" style="1"/>
  </cols>
  <sheetData>
    <row r="1" spans="1:27">
      <c r="A1" s="1" t="s">
        <v>49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8"/>
      <c r="S1" s="78"/>
      <c r="T1" s="78"/>
    </row>
    <row r="2" spans="1:27">
      <c r="A2" s="1" t="s">
        <v>48</v>
      </c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8"/>
      <c r="S2" s="78"/>
      <c r="T2" s="78"/>
    </row>
    <row r="3" spans="1:27">
      <c r="A3" s="1" t="s">
        <v>47</v>
      </c>
      <c r="B3" s="79"/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  <c r="R3" s="78"/>
      <c r="S3" s="78"/>
      <c r="T3" s="78"/>
    </row>
    <row r="4" spans="1:27">
      <c r="B4" s="79"/>
      <c r="C4" s="79"/>
      <c r="D4" s="79"/>
      <c r="E4" s="79"/>
      <c r="F4" s="79"/>
      <c r="G4" s="79"/>
      <c r="H4" s="79"/>
      <c r="I4" s="79"/>
      <c r="J4" s="79"/>
      <c r="K4" s="79"/>
      <c r="L4" s="79"/>
      <c r="M4" s="79"/>
      <c r="N4" s="79"/>
      <c r="O4" s="79"/>
      <c r="P4" s="79"/>
      <c r="Q4" s="79"/>
      <c r="R4" s="78"/>
      <c r="S4" s="78"/>
      <c r="T4" s="78"/>
    </row>
    <row r="5" spans="1:27">
      <c r="B5" s="79" t="s">
        <v>46</v>
      </c>
      <c r="C5" s="79" t="s">
        <v>45</v>
      </c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8"/>
      <c r="S5" s="78"/>
      <c r="T5" s="78"/>
    </row>
    <row r="6" spans="1:27">
      <c r="A6" s="1" t="s">
        <v>76</v>
      </c>
      <c r="B6" s="79">
        <v>2.5000000000000001E-2</v>
      </c>
      <c r="C6" s="79">
        <f>B6*25.4</f>
        <v>0.63500000000000001</v>
      </c>
      <c r="D6" s="79"/>
      <c r="E6" s="79"/>
      <c r="F6" s="79"/>
      <c r="G6" s="79"/>
      <c r="H6" s="79"/>
      <c r="I6" s="79"/>
      <c r="J6" s="79"/>
      <c r="K6" s="79"/>
      <c r="L6" s="79"/>
      <c r="M6" s="79"/>
      <c r="N6" s="79"/>
      <c r="O6" s="79"/>
      <c r="P6" s="79"/>
      <c r="Q6" s="79"/>
      <c r="R6" s="78"/>
      <c r="S6" s="78"/>
      <c r="T6" s="78"/>
    </row>
    <row r="7" spans="1:27">
      <c r="B7" s="79"/>
      <c r="C7" s="79"/>
      <c r="D7" s="79"/>
      <c r="E7" s="79"/>
      <c r="F7" s="79"/>
      <c r="G7" s="79"/>
      <c r="H7" s="79"/>
      <c r="I7" s="79"/>
      <c r="J7" s="79"/>
      <c r="K7" s="79"/>
      <c r="L7" s="79"/>
      <c r="M7" s="79"/>
      <c r="N7" s="79"/>
      <c r="O7" s="79"/>
      <c r="P7" s="79"/>
      <c r="Q7" s="79"/>
      <c r="R7" s="78"/>
      <c r="S7" s="78"/>
      <c r="T7" s="78"/>
    </row>
    <row r="8" spans="1:27">
      <c r="A8" s="77" t="s">
        <v>43</v>
      </c>
      <c r="B8" s="79"/>
      <c r="C8" s="79"/>
      <c r="D8" s="79"/>
      <c r="E8" s="79"/>
      <c r="F8" s="79"/>
      <c r="G8" s="79"/>
      <c r="H8" s="79"/>
      <c r="I8" s="79"/>
      <c r="J8" s="79"/>
      <c r="K8" s="79"/>
      <c r="L8" s="79"/>
      <c r="M8" s="79"/>
      <c r="N8" s="79"/>
      <c r="O8" s="79"/>
      <c r="P8" s="79"/>
      <c r="Q8" s="79"/>
      <c r="R8" s="78"/>
      <c r="S8" s="78"/>
      <c r="T8" s="78"/>
      <c r="V8" s="221" t="s">
        <v>42</v>
      </c>
      <c r="W8" s="221"/>
    </row>
    <row r="9" spans="1:27" ht="42">
      <c r="A9" s="71" t="s">
        <v>32</v>
      </c>
      <c r="B9" s="76" t="s">
        <v>41</v>
      </c>
      <c r="C9" s="386" t="s">
        <v>40</v>
      </c>
      <c r="D9" s="387"/>
      <c r="E9" s="385" t="s">
        <v>39</v>
      </c>
      <c r="F9" s="385"/>
      <c r="G9" s="385"/>
      <c r="H9" s="385"/>
      <c r="I9" s="385"/>
      <c r="J9" s="75"/>
      <c r="K9" s="386" t="s">
        <v>38</v>
      </c>
      <c r="L9" s="387"/>
      <c r="M9" s="386" t="s">
        <v>37</v>
      </c>
      <c r="N9" s="384"/>
      <c r="O9" s="384"/>
      <c r="P9" s="384"/>
      <c r="Q9" s="74" t="s">
        <v>36</v>
      </c>
      <c r="R9" s="204" t="s">
        <v>70</v>
      </c>
      <c r="S9" s="203" t="s">
        <v>69</v>
      </c>
      <c r="T9" s="220" t="s">
        <v>33</v>
      </c>
      <c r="V9" s="19" t="s">
        <v>32</v>
      </c>
      <c r="W9" s="69" t="s">
        <v>31</v>
      </c>
      <c r="X9" s="68" t="s">
        <v>30</v>
      </c>
      <c r="Y9" s="19" t="s">
        <v>29</v>
      </c>
      <c r="Z9" s="67" t="s">
        <v>51</v>
      </c>
      <c r="AA9" s="161" t="s">
        <v>27</v>
      </c>
    </row>
    <row r="10" spans="1:27">
      <c r="A10" s="16"/>
      <c r="B10" s="217"/>
      <c r="C10" s="219">
        <v>1</v>
      </c>
      <c r="D10" s="217">
        <v>2</v>
      </c>
      <c r="E10" s="219">
        <v>1</v>
      </c>
      <c r="F10" s="218">
        <v>2</v>
      </c>
      <c r="G10" s="218">
        <v>3</v>
      </c>
      <c r="H10" s="218">
        <v>4</v>
      </c>
      <c r="I10" s="218">
        <v>5</v>
      </c>
      <c r="J10" s="217">
        <v>6</v>
      </c>
      <c r="K10" s="219">
        <v>1</v>
      </c>
      <c r="L10" s="217">
        <v>2</v>
      </c>
      <c r="M10" s="219">
        <v>1</v>
      </c>
      <c r="N10" s="218">
        <v>2</v>
      </c>
      <c r="O10" s="218">
        <v>3</v>
      </c>
      <c r="P10" s="218">
        <v>4</v>
      </c>
      <c r="Q10" s="217"/>
      <c r="R10" s="216"/>
      <c r="S10" s="215"/>
      <c r="T10" s="214"/>
      <c r="V10" s="35"/>
      <c r="W10" s="52"/>
      <c r="X10" s="59"/>
      <c r="Y10" s="59"/>
      <c r="Z10" s="214"/>
    </row>
    <row r="11" spans="1:27">
      <c r="A11" s="12"/>
      <c r="B11" s="187"/>
      <c r="C11" s="177"/>
      <c r="D11" s="187"/>
      <c r="E11" s="177"/>
      <c r="F11" s="55"/>
      <c r="G11" s="55"/>
      <c r="H11" s="55"/>
      <c r="I11" s="55"/>
      <c r="J11" s="187"/>
      <c r="K11" s="177"/>
      <c r="L11" s="187"/>
      <c r="M11" s="177"/>
      <c r="N11" s="55"/>
      <c r="O11" s="55"/>
      <c r="P11" s="55"/>
      <c r="Q11" s="187"/>
      <c r="R11" s="37"/>
      <c r="S11" s="53"/>
      <c r="T11" s="35"/>
      <c r="V11" s="35"/>
      <c r="W11" s="52"/>
      <c r="X11" s="35"/>
      <c r="Y11" s="35"/>
      <c r="Z11" s="35"/>
    </row>
    <row r="12" spans="1:27">
      <c r="A12" s="44">
        <v>0</v>
      </c>
      <c r="B12" s="187" t="s">
        <v>64</v>
      </c>
      <c r="C12" s="177">
        <v>204</v>
      </c>
      <c r="D12" s="187">
        <v>204</v>
      </c>
      <c r="E12" s="177">
        <v>0.64</v>
      </c>
      <c r="F12" s="55">
        <v>0.65</v>
      </c>
      <c r="G12" s="55">
        <v>0.64</v>
      </c>
      <c r="H12" s="55">
        <v>0.66</v>
      </c>
      <c r="I12" s="55">
        <v>0.64</v>
      </c>
      <c r="J12" s="187">
        <v>0.66</v>
      </c>
      <c r="K12" s="177">
        <v>27.66</v>
      </c>
      <c r="L12" s="187">
        <v>27.63</v>
      </c>
      <c r="M12" s="177"/>
      <c r="N12" s="55"/>
      <c r="O12" s="55"/>
      <c r="P12" s="55"/>
      <c r="Q12" s="115" t="s">
        <v>21</v>
      </c>
      <c r="R12" s="37">
        <v>51.6</v>
      </c>
      <c r="S12" s="36">
        <f t="shared" ref="S12:S41" si="0">R12/(AVERAGE(C12:D12)*AVERAGE(E12:J12)*AVERAGE(K12:L12)*0.001)</f>
        <v>14.112520603664709</v>
      </c>
      <c r="T12" s="35">
        <v>1</v>
      </c>
      <c r="V12" s="172">
        <v>0</v>
      </c>
      <c r="W12" s="35">
        <f t="shared" ref="W12:W41" si="1">IF(OR(ABS(E12-$C$6)&gt;($C$6*0.1),ABS(F12-$C$6)&gt;($C$6*0.1),ABS(G12-$C$6)&gt;($C$6*0.1),ABS(H12-$C$6)&gt;($C$6*0.1),ABS(I12-$C$6)&gt;($C$6*0.1),ABS(J12-$C$6)&gt;($C$6*0.1)),1,0)</f>
        <v>0</v>
      </c>
      <c r="X12" s="35">
        <v>1</v>
      </c>
      <c r="Y12" s="34">
        <v>0</v>
      </c>
      <c r="Z12" s="35">
        <f t="shared" ref="Z12:Z41" si="2">IF(OR(M12="Y",N12="Y",O12="Y",P12="Y"),1,0)</f>
        <v>0</v>
      </c>
      <c r="AA12" t="s">
        <v>63</v>
      </c>
    </row>
    <row r="13" spans="1:27">
      <c r="A13" s="12">
        <v>1</v>
      </c>
      <c r="B13" s="187"/>
      <c r="C13" s="213">
        <v>204</v>
      </c>
      <c r="D13" s="182">
        <v>204</v>
      </c>
      <c r="E13" s="177">
        <v>0.62</v>
      </c>
      <c r="F13" s="55">
        <v>0.61</v>
      </c>
      <c r="G13" s="55">
        <v>0.62</v>
      </c>
      <c r="H13" s="55">
        <v>0.61</v>
      </c>
      <c r="I13" s="55">
        <v>0.62</v>
      </c>
      <c r="J13" s="187">
        <v>0.61</v>
      </c>
      <c r="K13" s="166">
        <v>26.38</v>
      </c>
      <c r="L13" s="165">
        <v>26.29</v>
      </c>
      <c r="M13" s="120"/>
      <c r="N13" s="45"/>
      <c r="O13" s="45"/>
      <c r="P13" s="23"/>
      <c r="Q13" s="115"/>
      <c r="R13" s="37">
        <v>45.2</v>
      </c>
      <c r="S13" s="36">
        <f t="shared" si="0"/>
        <v>13.680432541378543</v>
      </c>
      <c r="T13" s="35">
        <v>3</v>
      </c>
      <c r="V13" s="35">
        <v>1</v>
      </c>
      <c r="W13" s="35">
        <f t="shared" si="1"/>
        <v>0</v>
      </c>
      <c r="X13" s="35">
        <v>0</v>
      </c>
      <c r="Y13" s="34">
        <v>0</v>
      </c>
      <c r="Z13" s="35">
        <f t="shared" si="2"/>
        <v>0</v>
      </c>
    </row>
    <row r="14" spans="1:27">
      <c r="A14" s="12">
        <v>2</v>
      </c>
      <c r="B14" s="187"/>
      <c r="C14" s="213">
        <v>204</v>
      </c>
      <c r="D14" s="182">
        <v>204</v>
      </c>
      <c r="E14" s="122">
        <v>0.63</v>
      </c>
      <c r="F14" s="47">
        <v>0.62</v>
      </c>
      <c r="G14" s="47">
        <v>0.63</v>
      </c>
      <c r="H14" s="47">
        <v>0.62</v>
      </c>
      <c r="I14" s="47">
        <v>0.63</v>
      </c>
      <c r="J14" s="121">
        <v>0.62</v>
      </c>
      <c r="K14" s="166">
        <v>26.29</v>
      </c>
      <c r="L14" s="165">
        <v>26.39</v>
      </c>
      <c r="M14" s="120"/>
      <c r="N14" s="45"/>
      <c r="O14" s="45"/>
      <c r="P14" s="23"/>
      <c r="Q14" s="115"/>
      <c r="R14" s="37">
        <v>46.1</v>
      </c>
      <c r="S14" s="36">
        <f t="shared" si="0"/>
        <v>13.726979022436613</v>
      </c>
      <c r="T14" s="35">
        <v>3</v>
      </c>
      <c r="V14" s="35">
        <v>2</v>
      </c>
      <c r="W14" s="35">
        <f t="shared" si="1"/>
        <v>0</v>
      </c>
      <c r="X14" s="35">
        <v>0</v>
      </c>
      <c r="Y14" s="34">
        <v>0</v>
      </c>
      <c r="Z14" s="35">
        <f t="shared" si="2"/>
        <v>0</v>
      </c>
    </row>
    <row r="15" spans="1:27">
      <c r="A15" s="12">
        <v>3</v>
      </c>
      <c r="B15" s="187"/>
      <c r="C15" s="213">
        <v>204</v>
      </c>
      <c r="D15" s="182">
        <v>204</v>
      </c>
      <c r="E15" s="122">
        <v>0.64</v>
      </c>
      <c r="F15" s="47">
        <v>0.64</v>
      </c>
      <c r="G15" s="47">
        <v>0.64</v>
      </c>
      <c r="H15" s="47">
        <v>0.63</v>
      </c>
      <c r="I15" s="47">
        <v>0.64</v>
      </c>
      <c r="J15" s="121">
        <v>0.63</v>
      </c>
      <c r="K15" s="166">
        <v>26.38</v>
      </c>
      <c r="L15" s="165">
        <v>26.42</v>
      </c>
      <c r="M15" s="120"/>
      <c r="N15" s="45"/>
      <c r="O15" s="45"/>
      <c r="P15" s="23"/>
      <c r="Q15" s="40"/>
      <c r="R15" s="37">
        <v>46.5</v>
      </c>
      <c r="S15" s="36">
        <f t="shared" si="0"/>
        <v>13.561469328331047</v>
      </c>
      <c r="T15" s="35">
        <v>3</v>
      </c>
      <c r="V15" s="35">
        <v>3</v>
      </c>
      <c r="W15" s="35">
        <f t="shared" si="1"/>
        <v>0</v>
      </c>
      <c r="X15" s="35">
        <v>0</v>
      </c>
      <c r="Y15" s="34">
        <v>0</v>
      </c>
      <c r="Z15" s="35">
        <f t="shared" si="2"/>
        <v>0</v>
      </c>
    </row>
    <row r="16" spans="1:27">
      <c r="A16" s="12">
        <v>4</v>
      </c>
      <c r="B16" s="187"/>
      <c r="C16" s="213">
        <v>204</v>
      </c>
      <c r="D16" s="182">
        <v>204</v>
      </c>
      <c r="E16" s="122">
        <v>0.64</v>
      </c>
      <c r="F16" s="47">
        <v>0.63</v>
      </c>
      <c r="G16" s="47">
        <v>0.64</v>
      </c>
      <c r="H16" s="47">
        <v>0.63</v>
      </c>
      <c r="I16" s="47">
        <v>0.63</v>
      </c>
      <c r="J16" s="121">
        <v>0.63</v>
      </c>
      <c r="K16" s="166">
        <v>26.38</v>
      </c>
      <c r="L16" s="165">
        <v>26.31</v>
      </c>
      <c r="M16" s="120"/>
      <c r="N16" s="45"/>
      <c r="O16" s="45" t="s">
        <v>20</v>
      </c>
      <c r="P16" s="23"/>
      <c r="Q16" s="115"/>
      <c r="R16" s="37">
        <v>45.4</v>
      </c>
      <c r="S16" s="36">
        <f t="shared" si="0"/>
        <v>13.338135845681883</v>
      </c>
      <c r="T16" s="35">
        <v>3</v>
      </c>
      <c r="V16" s="35">
        <v>4</v>
      </c>
      <c r="W16" s="35">
        <f t="shared" si="1"/>
        <v>0</v>
      </c>
      <c r="X16" s="35">
        <v>0</v>
      </c>
      <c r="Y16" s="34">
        <v>0</v>
      </c>
      <c r="Z16" s="35">
        <f t="shared" si="2"/>
        <v>0</v>
      </c>
    </row>
    <row r="17" spans="1:27">
      <c r="A17" s="12">
        <v>5</v>
      </c>
      <c r="B17" s="187"/>
      <c r="C17" s="213">
        <v>204</v>
      </c>
      <c r="D17" s="182">
        <v>204</v>
      </c>
      <c r="E17" s="122">
        <v>0.63</v>
      </c>
      <c r="F17" s="47">
        <v>0.64</v>
      </c>
      <c r="G17" s="47">
        <v>0.63</v>
      </c>
      <c r="H17" s="47">
        <v>0.64</v>
      </c>
      <c r="I17" s="47">
        <v>0.63</v>
      </c>
      <c r="J17" s="121">
        <v>0.63</v>
      </c>
      <c r="K17" s="166">
        <v>26.45</v>
      </c>
      <c r="L17" s="165">
        <v>26.28</v>
      </c>
      <c r="M17" s="120"/>
      <c r="N17" s="45"/>
      <c r="O17" s="45"/>
      <c r="P17" s="23"/>
      <c r="Q17" s="115"/>
      <c r="R17" s="37">
        <v>45.4</v>
      </c>
      <c r="S17" s="36">
        <f t="shared" si="0"/>
        <v>13.328017783215973</v>
      </c>
      <c r="T17" s="35">
        <v>3</v>
      </c>
      <c r="V17" s="35">
        <v>5</v>
      </c>
      <c r="W17" s="35">
        <f t="shared" si="1"/>
        <v>0</v>
      </c>
      <c r="X17" s="35">
        <v>0</v>
      </c>
      <c r="Y17" s="34">
        <v>0</v>
      </c>
      <c r="Z17" s="35">
        <f t="shared" si="2"/>
        <v>0</v>
      </c>
    </row>
    <row r="18" spans="1:27">
      <c r="A18" s="12">
        <v>6</v>
      </c>
      <c r="B18" s="187"/>
      <c r="C18" s="213">
        <v>204</v>
      </c>
      <c r="D18" s="182">
        <v>204</v>
      </c>
      <c r="E18" s="122">
        <v>0.62</v>
      </c>
      <c r="F18" s="47">
        <v>0.63</v>
      </c>
      <c r="G18" s="47">
        <v>0.62</v>
      </c>
      <c r="H18" s="47">
        <v>0.63</v>
      </c>
      <c r="I18" s="47">
        <v>0.62</v>
      </c>
      <c r="J18" s="121">
        <v>0.63</v>
      </c>
      <c r="K18" s="166">
        <v>26.47</v>
      </c>
      <c r="L18" s="165">
        <v>26.29</v>
      </c>
      <c r="M18" s="120"/>
      <c r="N18" s="45"/>
      <c r="O18" s="45"/>
      <c r="P18" s="23"/>
      <c r="Q18" s="115"/>
      <c r="R18" s="37">
        <v>45.6</v>
      </c>
      <c r="S18" s="36">
        <f t="shared" si="0"/>
        <v>13.55750791597913</v>
      </c>
      <c r="T18" s="35">
        <v>3</v>
      </c>
      <c r="V18" s="35">
        <v>6</v>
      </c>
      <c r="W18" s="35">
        <f t="shared" si="1"/>
        <v>0</v>
      </c>
      <c r="X18" s="35">
        <v>0</v>
      </c>
      <c r="Y18" s="34">
        <v>0</v>
      </c>
      <c r="Z18" s="35">
        <f t="shared" si="2"/>
        <v>0</v>
      </c>
    </row>
    <row r="19" spans="1:27">
      <c r="A19" s="12">
        <v>7</v>
      </c>
      <c r="B19" s="187"/>
      <c r="C19" s="213">
        <v>204</v>
      </c>
      <c r="D19" s="182">
        <v>204</v>
      </c>
      <c r="E19" s="122">
        <v>0.63</v>
      </c>
      <c r="F19" s="47">
        <v>0.63</v>
      </c>
      <c r="G19" s="47">
        <v>0.63</v>
      </c>
      <c r="H19" s="47">
        <v>0.63</v>
      </c>
      <c r="I19" s="47">
        <v>0.63</v>
      </c>
      <c r="J19" s="121">
        <v>0.63</v>
      </c>
      <c r="K19" s="166">
        <v>26.26</v>
      </c>
      <c r="L19" s="165">
        <v>26.47</v>
      </c>
      <c r="M19" s="120"/>
      <c r="N19" s="45"/>
      <c r="O19" s="45"/>
      <c r="P19" s="23"/>
      <c r="Q19" s="115"/>
      <c r="R19" s="37">
        <v>45.7</v>
      </c>
      <c r="S19" s="36">
        <f t="shared" si="0"/>
        <v>13.487072979938967</v>
      </c>
      <c r="T19" s="35">
        <v>3</v>
      </c>
      <c r="V19" s="35">
        <v>7</v>
      </c>
      <c r="W19" s="35">
        <f t="shared" si="1"/>
        <v>0</v>
      </c>
      <c r="X19" s="35">
        <v>0</v>
      </c>
      <c r="Y19" s="34">
        <v>0</v>
      </c>
      <c r="Z19" s="35">
        <f t="shared" si="2"/>
        <v>0</v>
      </c>
    </row>
    <row r="20" spans="1:27" ht="42">
      <c r="A20" s="12">
        <v>8</v>
      </c>
      <c r="B20" s="187" t="s">
        <v>75</v>
      </c>
      <c r="C20" s="213">
        <v>204</v>
      </c>
      <c r="D20" s="182">
        <v>204</v>
      </c>
      <c r="E20" s="122">
        <v>0.62</v>
      </c>
      <c r="F20" s="47">
        <v>0.63</v>
      </c>
      <c r="G20" s="47">
        <v>0.62</v>
      </c>
      <c r="H20" s="47">
        <v>0.63</v>
      </c>
      <c r="I20" s="47">
        <v>0.62</v>
      </c>
      <c r="J20" s="121">
        <v>0.63</v>
      </c>
      <c r="K20" s="166">
        <v>26.18</v>
      </c>
      <c r="L20" s="165">
        <v>26.49</v>
      </c>
      <c r="M20" s="120"/>
      <c r="N20" s="45"/>
      <c r="O20" s="45"/>
      <c r="P20" s="23"/>
      <c r="Q20" s="40"/>
      <c r="R20" s="37">
        <v>45.5</v>
      </c>
      <c r="S20" s="36">
        <f t="shared" si="0"/>
        <v>13.550892162446903</v>
      </c>
      <c r="T20" s="35">
        <v>3</v>
      </c>
      <c r="V20" s="35">
        <v>8</v>
      </c>
      <c r="W20" s="35">
        <f t="shared" si="1"/>
        <v>0</v>
      </c>
      <c r="X20" s="35">
        <v>0</v>
      </c>
      <c r="Y20" s="34">
        <v>0</v>
      </c>
      <c r="Z20" s="35">
        <f t="shared" si="2"/>
        <v>0</v>
      </c>
    </row>
    <row r="21" spans="1:27">
      <c r="A21" s="12">
        <v>9</v>
      </c>
      <c r="B21" s="187"/>
      <c r="C21" s="213">
        <v>204</v>
      </c>
      <c r="D21" s="182">
        <v>204</v>
      </c>
      <c r="E21" s="122">
        <v>0.63</v>
      </c>
      <c r="F21" s="47">
        <v>0.62</v>
      </c>
      <c r="G21" s="47">
        <v>0.63</v>
      </c>
      <c r="H21" s="47">
        <v>0.63</v>
      </c>
      <c r="I21" s="47">
        <v>0.63</v>
      </c>
      <c r="J21" s="121">
        <v>0.63</v>
      </c>
      <c r="K21" s="166">
        <v>26.32</v>
      </c>
      <c r="L21" s="165">
        <v>26.4</v>
      </c>
      <c r="M21" s="120"/>
      <c r="N21" s="45"/>
      <c r="O21" s="45"/>
      <c r="P21" s="23"/>
      <c r="Q21" s="115"/>
      <c r="R21" s="37">
        <v>45.7</v>
      </c>
      <c r="S21" s="36">
        <f t="shared" si="0"/>
        <v>13.525412741140055</v>
      </c>
      <c r="T21" s="35">
        <v>3</v>
      </c>
      <c r="V21" s="35">
        <v>9</v>
      </c>
      <c r="W21" s="35">
        <f t="shared" si="1"/>
        <v>0</v>
      </c>
      <c r="X21" s="35">
        <v>0</v>
      </c>
      <c r="Y21" s="34">
        <v>0</v>
      </c>
      <c r="Z21" s="35">
        <f t="shared" si="2"/>
        <v>0</v>
      </c>
    </row>
    <row r="22" spans="1:27">
      <c r="A22" s="12">
        <v>10</v>
      </c>
      <c r="B22" s="187"/>
      <c r="C22" s="213">
        <v>204</v>
      </c>
      <c r="D22" s="182">
        <v>204</v>
      </c>
      <c r="E22" s="122">
        <v>0.6</v>
      </c>
      <c r="F22" s="47">
        <v>0.62</v>
      </c>
      <c r="G22" s="47">
        <v>0.61</v>
      </c>
      <c r="H22" s="47">
        <v>0.62</v>
      </c>
      <c r="I22" s="47">
        <v>0.61</v>
      </c>
      <c r="J22" s="121">
        <v>0.62</v>
      </c>
      <c r="K22" s="166">
        <v>26.36</v>
      </c>
      <c r="L22" s="165">
        <v>26.34</v>
      </c>
      <c r="M22" s="120"/>
      <c r="N22" s="45"/>
      <c r="O22" s="45"/>
      <c r="P22" s="23"/>
      <c r="Q22" s="40"/>
      <c r="R22" s="37">
        <v>44.8</v>
      </c>
      <c r="S22" s="36">
        <f t="shared" si="0"/>
        <v>13.588473092396761</v>
      </c>
      <c r="T22" s="35">
        <v>3</v>
      </c>
      <c r="V22" s="35">
        <v>10</v>
      </c>
      <c r="W22" s="35">
        <f t="shared" si="1"/>
        <v>0</v>
      </c>
      <c r="X22" s="35">
        <v>0</v>
      </c>
      <c r="Y22" s="34">
        <v>0</v>
      </c>
      <c r="Z22" s="35">
        <f t="shared" si="2"/>
        <v>0</v>
      </c>
    </row>
    <row r="23" spans="1:27">
      <c r="A23" s="44">
        <v>11</v>
      </c>
      <c r="B23" s="187" t="s">
        <v>74</v>
      </c>
      <c r="C23" s="213">
        <v>204</v>
      </c>
      <c r="D23" s="182">
        <v>204</v>
      </c>
      <c r="E23" s="122">
        <v>0.63</v>
      </c>
      <c r="F23" s="47">
        <v>0.63</v>
      </c>
      <c r="G23" s="47">
        <v>0.63</v>
      </c>
      <c r="H23" s="47">
        <v>0.63</v>
      </c>
      <c r="I23" s="47">
        <v>0.66</v>
      </c>
      <c r="J23" s="121">
        <v>0.63</v>
      </c>
      <c r="K23" s="166">
        <v>26.3</v>
      </c>
      <c r="L23" s="165">
        <v>26.38</v>
      </c>
      <c r="M23" s="120"/>
      <c r="N23" s="45"/>
      <c r="O23" s="45" t="s">
        <v>20</v>
      </c>
      <c r="P23" s="23"/>
      <c r="Q23" s="115"/>
      <c r="R23" s="37">
        <v>46.5</v>
      </c>
      <c r="S23" s="36">
        <f t="shared" si="0"/>
        <v>13.628036546349568</v>
      </c>
      <c r="T23" s="35">
        <v>3</v>
      </c>
      <c r="V23" s="172">
        <v>11</v>
      </c>
      <c r="W23" s="35">
        <f t="shared" si="1"/>
        <v>0</v>
      </c>
      <c r="X23" s="35">
        <v>0</v>
      </c>
      <c r="Y23" s="34">
        <v>0</v>
      </c>
      <c r="Z23" s="35">
        <f t="shared" si="2"/>
        <v>0</v>
      </c>
      <c r="AA23" t="s">
        <v>26</v>
      </c>
    </row>
    <row r="24" spans="1:27">
      <c r="A24" s="12">
        <v>12</v>
      </c>
      <c r="B24" s="187"/>
      <c r="C24" s="213">
        <v>204</v>
      </c>
      <c r="D24" s="182">
        <v>204</v>
      </c>
      <c r="E24" s="122">
        <v>0.64</v>
      </c>
      <c r="F24" s="47">
        <v>0.63</v>
      </c>
      <c r="G24" s="47">
        <v>0.63</v>
      </c>
      <c r="H24" s="47">
        <v>0.63</v>
      </c>
      <c r="I24" s="47">
        <v>0.63</v>
      </c>
      <c r="J24" s="121">
        <v>0.63</v>
      </c>
      <c r="K24" s="166">
        <v>26.27</v>
      </c>
      <c r="L24" s="165">
        <v>26.21</v>
      </c>
      <c r="M24" s="120"/>
      <c r="N24" s="45"/>
      <c r="O24" s="45"/>
      <c r="P24" s="23"/>
      <c r="Q24" s="115"/>
      <c r="R24" s="37">
        <v>46.7</v>
      </c>
      <c r="S24" s="36">
        <f t="shared" si="0"/>
        <v>13.811311576564471</v>
      </c>
      <c r="T24" s="35">
        <v>3</v>
      </c>
      <c r="V24" s="35">
        <v>12</v>
      </c>
      <c r="W24" s="35">
        <f t="shared" si="1"/>
        <v>0</v>
      </c>
      <c r="X24" s="35">
        <v>0</v>
      </c>
      <c r="Y24" s="34">
        <v>0</v>
      </c>
      <c r="Z24" s="35">
        <f t="shared" si="2"/>
        <v>0</v>
      </c>
    </row>
    <row r="25" spans="1:27">
      <c r="A25" s="12">
        <v>13</v>
      </c>
      <c r="B25" s="187"/>
      <c r="C25" s="213">
        <v>204</v>
      </c>
      <c r="D25" s="182">
        <v>204</v>
      </c>
      <c r="E25" s="122">
        <v>0.63</v>
      </c>
      <c r="F25" s="47">
        <v>0.63</v>
      </c>
      <c r="G25" s="47">
        <v>0.63</v>
      </c>
      <c r="H25" s="47">
        <v>0.64</v>
      </c>
      <c r="I25" s="47">
        <v>0.64</v>
      </c>
      <c r="J25" s="121">
        <v>0.63</v>
      </c>
      <c r="K25" s="166">
        <v>26.17</v>
      </c>
      <c r="L25" s="165">
        <v>26.14</v>
      </c>
      <c r="M25" s="120"/>
      <c r="N25" s="45"/>
      <c r="O25" s="45"/>
      <c r="P25" s="23"/>
      <c r="Q25" s="115"/>
      <c r="R25" s="37">
        <v>46.3</v>
      </c>
      <c r="S25" s="36">
        <f t="shared" si="0"/>
        <v>13.701362382983556</v>
      </c>
      <c r="T25" s="35">
        <v>3</v>
      </c>
      <c r="V25" s="35">
        <v>13</v>
      </c>
      <c r="W25" s="35">
        <f t="shared" si="1"/>
        <v>0</v>
      </c>
      <c r="X25" s="35">
        <v>0</v>
      </c>
      <c r="Y25" s="34">
        <v>0</v>
      </c>
      <c r="Z25" s="35">
        <f t="shared" si="2"/>
        <v>0</v>
      </c>
    </row>
    <row r="26" spans="1:27">
      <c r="A26" s="12">
        <v>14</v>
      </c>
      <c r="B26" s="187"/>
      <c r="C26" s="213">
        <v>204</v>
      </c>
      <c r="D26" s="182">
        <v>204</v>
      </c>
      <c r="E26" s="122">
        <v>0.64</v>
      </c>
      <c r="F26" s="47">
        <v>0.64</v>
      </c>
      <c r="G26" s="47">
        <v>0.64</v>
      </c>
      <c r="H26" s="47">
        <v>0.65</v>
      </c>
      <c r="I26" s="47">
        <v>0.65</v>
      </c>
      <c r="J26" s="121">
        <v>0.65</v>
      </c>
      <c r="K26" s="166">
        <v>26.28</v>
      </c>
      <c r="L26" s="165">
        <v>26.3</v>
      </c>
      <c r="M26" s="120"/>
      <c r="N26" s="45"/>
      <c r="O26" s="45" t="s">
        <v>20</v>
      </c>
      <c r="P26" s="23" t="s">
        <v>20</v>
      </c>
      <c r="Q26" s="40"/>
      <c r="R26" s="37">
        <v>47.1</v>
      </c>
      <c r="S26" s="36">
        <f t="shared" si="0"/>
        <v>13.615714581320249</v>
      </c>
      <c r="T26" s="35">
        <v>3</v>
      </c>
      <c r="V26" s="35">
        <v>14</v>
      </c>
      <c r="W26" s="35">
        <f t="shared" si="1"/>
        <v>0</v>
      </c>
      <c r="X26" s="35">
        <v>0</v>
      </c>
      <c r="Y26" s="34">
        <v>0</v>
      </c>
      <c r="Z26" s="35">
        <f t="shared" si="2"/>
        <v>0</v>
      </c>
    </row>
    <row r="27" spans="1:27">
      <c r="A27" s="12">
        <v>15</v>
      </c>
      <c r="B27" s="187"/>
      <c r="C27" s="213">
        <v>204</v>
      </c>
      <c r="D27" s="182">
        <v>204</v>
      </c>
      <c r="E27" s="122">
        <v>0.63</v>
      </c>
      <c r="F27" s="47">
        <v>0.63</v>
      </c>
      <c r="G27" s="47">
        <v>0.63</v>
      </c>
      <c r="H27" s="47">
        <v>0.63</v>
      </c>
      <c r="I27" s="47">
        <v>0.63</v>
      </c>
      <c r="J27" s="121">
        <v>0.63</v>
      </c>
      <c r="K27" s="166">
        <v>26.46</v>
      </c>
      <c r="L27" s="165">
        <v>26.25</v>
      </c>
      <c r="M27" s="120"/>
      <c r="N27" s="45"/>
      <c r="O27" s="45" t="s">
        <v>20</v>
      </c>
      <c r="P27" s="23"/>
      <c r="Q27" s="40"/>
      <c r="R27" s="37">
        <v>46.1</v>
      </c>
      <c r="S27" s="36">
        <f t="shared" si="0"/>
        <v>13.610284013265922</v>
      </c>
      <c r="T27" s="35">
        <v>3</v>
      </c>
      <c r="V27" s="35">
        <v>15</v>
      </c>
      <c r="W27" s="35">
        <f t="shared" si="1"/>
        <v>0</v>
      </c>
      <c r="X27" s="35">
        <v>0</v>
      </c>
      <c r="Y27" s="34">
        <v>0</v>
      </c>
      <c r="Z27" s="35">
        <f t="shared" si="2"/>
        <v>0</v>
      </c>
    </row>
    <row r="28" spans="1:27">
      <c r="A28" s="12">
        <v>16</v>
      </c>
      <c r="B28" s="187" t="s">
        <v>73</v>
      </c>
      <c r="C28" s="213">
        <v>204</v>
      </c>
      <c r="D28" s="182">
        <v>204</v>
      </c>
      <c r="E28" s="122">
        <v>0.64</v>
      </c>
      <c r="F28" s="47">
        <v>0.63</v>
      </c>
      <c r="G28" s="47">
        <v>0.63</v>
      </c>
      <c r="H28" s="47">
        <v>0.63</v>
      </c>
      <c r="I28" s="47">
        <v>0.64</v>
      </c>
      <c r="J28" s="121">
        <v>0.63</v>
      </c>
      <c r="K28" s="166">
        <v>26.34</v>
      </c>
      <c r="L28" s="165">
        <v>26.29</v>
      </c>
      <c r="M28" s="120"/>
      <c r="N28" s="45"/>
      <c r="O28" s="45"/>
      <c r="P28" s="23"/>
      <c r="Q28" s="40"/>
      <c r="R28" s="37">
        <v>46.6</v>
      </c>
      <c r="S28" s="36">
        <f t="shared" si="0"/>
        <v>13.706293541747431</v>
      </c>
      <c r="T28" s="35">
        <v>3</v>
      </c>
      <c r="V28" s="35">
        <v>16</v>
      </c>
      <c r="W28" s="35">
        <f t="shared" si="1"/>
        <v>0</v>
      </c>
      <c r="X28" s="35">
        <v>0</v>
      </c>
      <c r="Y28" s="34">
        <v>0</v>
      </c>
      <c r="Z28" s="35">
        <f t="shared" si="2"/>
        <v>0</v>
      </c>
    </row>
    <row r="29" spans="1:27">
      <c r="A29" s="12">
        <v>17</v>
      </c>
      <c r="B29" s="187"/>
      <c r="C29" s="213">
        <v>204</v>
      </c>
      <c r="D29" s="182">
        <v>204</v>
      </c>
      <c r="E29" s="122">
        <v>0.63</v>
      </c>
      <c r="F29" s="47">
        <v>0.61</v>
      </c>
      <c r="G29" s="47">
        <v>0.63</v>
      </c>
      <c r="H29" s="47">
        <v>0.61</v>
      </c>
      <c r="I29" s="47">
        <v>0.62</v>
      </c>
      <c r="J29" s="121">
        <v>0.62</v>
      </c>
      <c r="K29" s="166">
        <v>26</v>
      </c>
      <c r="L29" s="165">
        <v>26.19</v>
      </c>
      <c r="M29" s="120" t="s">
        <v>20</v>
      </c>
      <c r="N29" s="45"/>
      <c r="O29" s="45"/>
      <c r="P29" s="23"/>
      <c r="Q29" s="40"/>
      <c r="R29" s="37">
        <v>45.1</v>
      </c>
      <c r="S29" s="36">
        <f t="shared" si="0"/>
        <v>13.664614490017804</v>
      </c>
      <c r="T29" s="35">
        <v>3</v>
      </c>
      <c r="V29" s="35">
        <v>17</v>
      </c>
      <c r="W29" s="35">
        <f t="shared" si="1"/>
        <v>0</v>
      </c>
      <c r="X29" s="35">
        <v>0</v>
      </c>
      <c r="Y29" s="34">
        <v>0</v>
      </c>
      <c r="Z29" s="35">
        <f t="shared" si="2"/>
        <v>0</v>
      </c>
    </row>
    <row r="30" spans="1:27">
      <c r="A30" s="12">
        <v>18</v>
      </c>
      <c r="B30" s="187"/>
      <c r="C30" s="213">
        <v>204</v>
      </c>
      <c r="D30" s="182">
        <v>204</v>
      </c>
      <c r="E30" s="122">
        <v>0.63</v>
      </c>
      <c r="F30" s="47">
        <v>0.63</v>
      </c>
      <c r="G30" s="47">
        <v>0.63</v>
      </c>
      <c r="H30" s="47">
        <v>0.63</v>
      </c>
      <c r="I30" s="47">
        <v>0.63</v>
      </c>
      <c r="J30" s="121">
        <v>0.63</v>
      </c>
      <c r="K30" s="166">
        <v>26.36</v>
      </c>
      <c r="L30" s="165">
        <v>26.29</v>
      </c>
      <c r="M30" s="120"/>
      <c r="N30" s="45"/>
      <c r="O30" s="45"/>
      <c r="P30" s="23"/>
      <c r="Q30" s="40"/>
      <c r="R30" s="37">
        <v>45.9</v>
      </c>
      <c r="S30" s="36">
        <f t="shared" si="0"/>
        <v>13.566680233346897</v>
      </c>
      <c r="T30" s="35">
        <v>3</v>
      </c>
      <c r="V30" s="35">
        <v>18</v>
      </c>
      <c r="W30" s="35">
        <f t="shared" si="1"/>
        <v>0</v>
      </c>
      <c r="X30" s="35">
        <v>0</v>
      </c>
      <c r="Y30" s="34">
        <v>0</v>
      </c>
      <c r="Z30" s="35">
        <f t="shared" si="2"/>
        <v>0</v>
      </c>
    </row>
    <row r="31" spans="1:27">
      <c r="A31" s="12">
        <v>19</v>
      </c>
      <c r="B31" s="187"/>
      <c r="C31" s="213">
        <v>204</v>
      </c>
      <c r="D31" s="182">
        <v>204</v>
      </c>
      <c r="E31" s="122">
        <v>0.64</v>
      </c>
      <c r="F31" s="47">
        <v>0.64</v>
      </c>
      <c r="G31" s="47">
        <v>0.64</v>
      </c>
      <c r="H31" s="47">
        <v>0.64</v>
      </c>
      <c r="I31" s="47">
        <v>0.64</v>
      </c>
      <c r="J31" s="121">
        <v>0.64</v>
      </c>
      <c r="K31" s="166">
        <v>26.38</v>
      </c>
      <c r="L31" s="165">
        <v>26.31</v>
      </c>
      <c r="M31" s="120"/>
      <c r="N31" s="45"/>
      <c r="O31" s="45" t="s">
        <v>20</v>
      </c>
      <c r="P31" s="23"/>
      <c r="Q31" s="115" t="s">
        <v>21</v>
      </c>
      <c r="R31" s="37">
        <v>46.9</v>
      </c>
      <c r="S31" s="36">
        <f t="shared" si="0"/>
        <v>13.63529374551111</v>
      </c>
      <c r="T31" s="35">
        <v>3</v>
      </c>
      <c r="V31" s="35">
        <v>19</v>
      </c>
      <c r="W31" s="35">
        <f t="shared" si="1"/>
        <v>0</v>
      </c>
      <c r="X31" s="35">
        <v>0</v>
      </c>
      <c r="Y31" s="34">
        <v>0</v>
      </c>
      <c r="Z31" s="35">
        <f t="shared" si="2"/>
        <v>0</v>
      </c>
    </row>
    <row r="32" spans="1:27">
      <c r="A32" s="32">
        <v>20</v>
      </c>
      <c r="B32" s="54"/>
      <c r="C32" s="213">
        <v>204</v>
      </c>
      <c r="D32" s="182">
        <v>204</v>
      </c>
      <c r="E32" s="118">
        <v>0.62</v>
      </c>
      <c r="F32" s="42">
        <v>0.63</v>
      </c>
      <c r="G32" s="42">
        <v>0.62</v>
      </c>
      <c r="H32" s="42">
        <v>0.63</v>
      </c>
      <c r="I32" s="42">
        <v>0.63</v>
      </c>
      <c r="J32" s="212">
        <v>0.64</v>
      </c>
      <c r="K32" s="166">
        <v>26.28</v>
      </c>
      <c r="L32" s="165">
        <v>25.98</v>
      </c>
      <c r="M32" s="116"/>
      <c r="N32" s="25"/>
      <c r="O32" s="25"/>
      <c r="P32" s="23"/>
      <c r="Q32" s="40"/>
      <c r="R32" s="37">
        <v>45.9</v>
      </c>
      <c r="S32" s="36">
        <f t="shared" si="0"/>
        <v>13.704178556310465</v>
      </c>
      <c r="T32" s="35">
        <v>3</v>
      </c>
      <c r="V32" s="161">
        <v>20</v>
      </c>
      <c r="W32" s="35">
        <f t="shared" si="1"/>
        <v>0</v>
      </c>
      <c r="X32" s="35">
        <v>0</v>
      </c>
      <c r="Y32" s="34">
        <v>0</v>
      </c>
      <c r="Z32" s="35">
        <f t="shared" si="2"/>
        <v>0</v>
      </c>
    </row>
    <row r="33" spans="1:26">
      <c r="A33" s="32">
        <v>21</v>
      </c>
      <c r="B33" s="54"/>
      <c r="C33" s="213">
        <v>204</v>
      </c>
      <c r="D33" s="182">
        <v>204</v>
      </c>
      <c r="E33" s="118">
        <v>0.64</v>
      </c>
      <c r="F33" s="42">
        <v>0.64</v>
      </c>
      <c r="G33" s="42">
        <v>0.64</v>
      </c>
      <c r="H33" s="42">
        <v>0.64</v>
      </c>
      <c r="I33" s="42">
        <v>0.64</v>
      </c>
      <c r="J33" s="212">
        <v>0.64</v>
      </c>
      <c r="K33" s="166">
        <v>26.28</v>
      </c>
      <c r="L33" s="165">
        <v>26.42</v>
      </c>
      <c r="M33" s="116"/>
      <c r="N33" s="25" t="s">
        <v>22</v>
      </c>
      <c r="O33" s="25"/>
      <c r="P33" s="23"/>
      <c r="Q33" s="115" t="s">
        <v>21</v>
      </c>
      <c r="R33" s="37">
        <v>47.3</v>
      </c>
      <c r="S33" s="36">
        <f t="shared" si="0"/>
        <v>13.748976820329649</v>
      </c>
      <c r="T33" s="35">
        <v>3</v>
      </c>
      <c r="V33" s="161">
        <v>21</v>
      </c>
      <c r="W33" s="35">
        <f t="shared" si="1"/>
        <v>0</v>
      </c>
      <c r="X33" s="35">
        <v>0</v>
      </c>
      <c r="Y33" s="34">
        <v>0</v>
      </c>
      <c r="Z33" s="35">
        <f t="shared" si="2"/>
        <v>1</v>
      </c>
    </row>
    <row r="34" spans="1:26">
      <c r="A34" s="32">
        <v>22</v>
      </c>
      <c r="B34" s="54"/>
      <c r="C34" s="213">
        <v>204</v>
      </c>
      <c r="D34" s="182">
        <v>204</v>
      </c>
      <c r="E34" s="118">
        <v>0.63</v>
      </c>
      <c r="F34" s="42">
        <v>0.62</v>
      </c>
      <c r="G34" s="42">
        <v>0.64</v>
      </c>
      <c r="H34" s="42">
        <v>0.64</v>
      </c>
      <c r="I34" s="42">
        <v>0.64</v>
      </c>
      <c r="J34" s="212">
        <v>0.63</v>
      </c>
      <c r="K34" s="166">
        <v>26.32</v>
      </c>
      <c r="L34" s="165">
        <v>26.35</v>
      </c>
      <c r="M34" s="116"/>
      <c r="N34" s="25" t="s">
        <v>20</v>
      </c>
      <c r="O34" s="25" t="s">
        <v>20</v>
      </c>
      <c r="P34" s="23"/>
      <c r="Q34" s="115" t="s">
        <v>21</v>
      </c>
      <c r="R34" s="37">
        <v>46.6</v>
      </c>
      <c r="S34" s="36">
        <f t="shared" si="0"/>
        <v>13.695884357360303</v>
      </c>
      <c r="T34" s="35">
        <v>3</v>
      </c>
      <c r="V34" s="161">
        <v>22</v>
      </c>
      <c r="W34" s="35">
        <f t="shared" si="1"/>
        <v>0</v>
      </c>
      <c r="X34" s="35">
        <v>0</v>
      </c>
      <c r="Y34" s="34">
        <v>0</v>
      </c>
      <c r="Z34" s="35">
        <f t="shared" si="2"/>
        <v>0</v>
      </c>
    </row>
    <row r="35" spans="1:26">
      <c r="A35" s="32">
        <v>23</v>
      </c>
      <c r="B35" s="54"/>
      <c r="C35" s="213">
        <v>204</v>
      </c>
      <c r="D35" s="182">
        <v>204</v>
      </c>
      <c r="E35" s="118">
        <v>0.64</v>
      </c>
      <c r="F35" s="42">
        <v>0.64</v>
      </c>
      <c r="G35" s="42">
        <v>0.63</v>
      </c>
      <c r="H35" s="42">
        <v>0.63</v>
      </c>
      <c r="I35" s="42">
        <v>0.63</v>
      </c>
      <c r="J35" s="212">
        <v>0.62</v>
      </c>
      <c r="K35" s="166">
        <v>26.28</v>
      </c>
      <c r="L35" s="165">
        <v>26.44</v>
      </c>
      <c r="M35" s="116" t="s">
        <v>20</v>
      </c>
      <c r="N35" s="25"/>
      <c r="O35" s="25"/>
      <c r="P35" s="23"/>
      <c r="Q35" s="115" t="s">
        <v>21</v>
      </c>
      <c r="R35" s="37">
        <v>46.6</v>
      </c>
      <c r="S35" s="36">
        <f t="shared" si="0"/>
        <v>13.718997714756483</v>
      </c>
      <c r="T35" s="35">
        <v>3</v>
      </c>
      <c r="V35" s="161">
        <v>23</v>
      </c>
      <c r="W35" s="35">
        <f t="shared" si="1"/>
        <v>0</v>
      </c>
      <c r="X35" s="35">
        <v>0</v>
      </c>
      <c r="Y35" s="34">
        <v>0</v>
      </c>
      <c r="Z35" s="35">
        <f t="shared" si="2"/>
        <v>0</v>
      </c>
    </row>
    <row r="36" spans="1:26">
      <c r="A36" s="32">
        <v>24</v>
      </c>
      <c r="B36" s="54"/>
      <c r="C36" s="213">
        <v>204</v>
      </c>
      <c r="D36" s="182">
        <v>204</v>
      </c>
      <c r="E36" s="118">
        <v>0.63</v>
      </c>
      <c r="F36" s="42">
        <v>0.62</v>
      </c>
      <c r="G36" s="42">
        <v>0.63</v>
      </c>
      <c r="H36" s="42">
        <v>0.62</v>
      </c>
      <c r="I36" s="42">
        <v>0.62</v>
      </c>
      <c r="J36" s="212">
        <v>0.61</v>
      </c>
      <c r="K36" s="166">
        <v>26.25</v>
      </c>
      <c r="L36" s="165">
        <v>26.25</v>
      </c>
      <c r="M36" s="116" t="s">
        <v>20</v>
      </c>
      <c r="N36" s="25"/>
      <c r="O36" s="25"/>
      <c r="P36" s="23"/>
      <c r="Q36" s="40"/>
      <c r="R36" s="37">
        <v>44.8</v>
      </c>
      <c r="S36" s="36">
        <f t="shared" si="0"/>
        <v>13.457393681333121</v>
      </c>
      <c r="T36" s="35">
        <v>3</v>
      </c>
      <c r="V36" s="161">
        <v>24</v>
      </c>
      <c r="W36" s="35">
        <f t="shared" si="1"/>
        <v>0</v>
      </c>
      <c r="X36" s="35">
        <v>0</v>
      </c>
      <c r="Y36" s="34">
        <v>0</v>
      </c>
      <c r="Z36" s="35">
        <f t="shared" si="2"/>
        <v>0</v>
      </c>
    </row>
    <row r="37" spans="1:26">
      <c r="A37" s="32">
        <v>25</v>
      </c>
      <c r="B37" s="54"/>
      <c r="C37" s="213">
        <v>204</v>
      </c>
      <c r="D37" s="182">
        <v>204</v>
      </c>
      <c r="E37" s="118">
        <v>0.64</v>
      </c>
      <c r="F37" s="42">
        <v>0.64</v>
      </c>
      <c r="G37" s="42">
        <v>0.64</v>
      </c>
      <c r="H37" s="42">
        <v>0.63</v>
      </c>
      <c r="I37" s="42">
        <v>0.64</v>
      </c>
      <c r="J37" s="212">
        <v>0.63</v>
      </c>
      <c r="K37" s="166">
        <v>26.16</v>
      </c>
      <c r="L37" s="38">
        <v>26.22</v>
      </c>
      <c r="M37" s="116" t="s">
        <v>20</v>
      </c>
      <c r="N37" s="25"/>
      <c r="O37" s="25"/>
      <c r="P37" s="23"/>
      <c r="Q37" s="40"/>
      <c r="R37" s="37">
        <v>46.4</v>
      </c>
      <c r="S37" s="36">
        <f t="shared" si="0"/>
        <v>13.640811331939384</v>
      </c>
      <c r="T37" s="35">
        <v>3</v>
      </c>
      <c r="V37" s="161">
        <v>25</v>
      </c>
      <c r="W37" s="35">
        <f t="shared" si="1"/>
        <v>0</v>
      </c>
      <c r="X37" s="35">
        <v>0</v>
      </c>
      <c r="Y37" s="34">
        <v>0</v>
      </c>
      <c r="Z37" s="35">
        <f t="shared" si="2"/>
        <v>0</v>
      </c>
    </row>
    <row r="38" spans="1:26">
      <c r="A38" s="32">
        <v>26</v>
      </c>
      <c r="B38" s="54"/>
      <c r="C38" s="213">
        <v>204</v>
      </c>
      <c r="D38" s="182">
        <v>204</v>
      </c>
      <c r="E38" s="118">
        <v>0.64</v>
      </c>
      <c r="F38" s="42">
        <v>0.63</v>
      </c>
      <c r="G38" s="42">
        <v>0.64</v>
      </c>
      <c r="H38" s="42">
        <v>0.63</v>
      </c>
      <c r="I38" s="42">
        <v>0.64</v>
      </c>
      <c r="J38" s="212">
        <v>0.63</v>
      </c>
      <c r="K38" s="166">
        <v>26.24</v>
      </c>
      <c r="L38" s="165">
        <v>26.22</v>
      </c>
      <c r="M38" s="116"/>
      <c r="N38" s="25"/>
      <c r="O38" s="25"/>
      <c r="P38" s="23"/>
      <c r="Q38" s="115"/>
      <c r="R38" s="37">
        <v>46.7</v>
      </c>
      <c r="S38" s="36">
        <f t="shared" si="0"/>
        <v>13.744049076909054</v>
      </c>
      <c r="T38" s="35">
        <v>3</v>
      </c>
      <c r="V38" s="161">
        <v>26</v>
      </c>
      <c r="W38" s="35">
        <f t="shared" si="1"/>
        <v>0</v>
      </c>
      <c r="X38" s="35">
        <v>0</v>
      </c>
      <c r="Y38" s="34">
        <v>0</v>
      </c>
      <c r="Z38" s="35">
        <f t="shared" si="2"/>
        <v>0</v>
      </c>
    </row>
    <row r="39" spans="1:26">
      <c r="A39" s="32">
        <v>27</v>
      </c>
      <c r="B39" s="54"/>
      <c r="C39" s="213">
        <v>204</v>
      </c>
      <c r="D39" s="182">
        <v>204</v>
      </c>
      <c r="E39" s="118">
        <v>0.63</v>
      </c>
      <c r="F39" s="42">
        <v>0.63</v>
      </c>
      <c r="G39" s="42">
        <v>0.63</v>
      </c>
      <c r="H39" s="42">
        <v>0.62</v>
      </c>
      <c r="I39" s="42">
        <v>0.63</v>
      </c>
      <c r="J39" s="212">
        <v>0.62</v>
      </c>
      <c r="K39" s="166">
        <v>26.28</v>
      </c>
      <c r="L39" s="165">
        <v>26.42</v>
      </c>
      <c r="M39" s="116"/>
      <c r="N39" s="25"/>
      <c r="O39" s="25" t="s">
        <v>20</v>
      </c>
      <c r="P39" s="23"/>
      <c r="Q39" s="115"/>
      <c r="R39" s="37">
        <v>46</v>
      </c>
      <c r="S39" s="36">
        <f t="shared" si="0"/>
        <v>13.655589410862248</v>
      </c>
      <c r="T39" s="35">
        <v>3</v>
      </c>
      <c r="V39" s="161">
        <v>27</v>
      </c>
      <c r="W39" s="35">
        <f t="shared" si="1"/>
        <v>0</v>
      </c>
      <c r="X39" s="35">
        <v>0</v>
      </c>
      <c r="Y39" s="34">
        <v>0</v>
      </c>
      <c r="Z39" s="35">
        <f t="shared" si="2"/>
        <v>0</v>
      </c>
    </row>
    <row r="40" spans="1:26">
      <c r="A40" s="32">
        <v>28</v>
      </c>
      <c r="B40" s="54"/>
      <c r="C40" s="213">
        <v>204</v>
      </c>
      <c r="D40" s="182">
        <v>204</v>
      </c>
      <c r="E40" s="118">
        <v>0.63</v>
      </c>
      <c r="F40" s="42">
        <v>0.62</v>
      </c>
      <c r="G40" s="42">
        <v>0.64</v>
      </c>
      <c r="H40" s="42">
        <v>0.63</v>
      </c>
      <c r="I40" s="42">
        <v>0.64</v>
      </c>
      <c r="J40" s="212">
        <v>0.63</v>
      </c>
      <c r="K40" s="166">
        <v>26.25</v>
      </c>
      <c r="L40" s="165">
        <v>26.27</v>
      </c>
      <c r="M40" s="116"/>
      <c r="N40" s="25"/>
      <c r="O40" s="25"/>
      <c r="P40" s="23"/>
      <c r="Q40" s="115"/>
      <c r="R40" s="37">
        <v>46.2</v>
      </c>
      <c r="S40" s="36">
        <f t="shared" si="0"/>
        <v>13.653032586774479</v>
      </c>
      <c r="T40" s="35">
        <v>3</v>
      </c>
      <c r="V40" s="161">
        <v>28</v>
      </c>
      <c r="W40" s="35">
        <f t="shared" si="1"/>
        <v>0</v>
      </c>
      <c r="X40" s="35">
        <v>0</v>
      </c>
      <c r="Y40" s="34">
        <v>0</v>
      </c>
      <c r="Z40" s="35">
        <f t="shared" si="2"/>
        <v>0</v>
      </c>
    </row>
    <row r="41" spans="1:26">
      <c r="A41" s="211">
        <v>29</v>
      </c>
      <c r="B41" s="74"/>
      <c r="C41" s="210">
        <v>204</v>
      </c>
      <c r="D41" s="209">
        <v>204</v>
      </c>
      <c r="E41" s="112">
        <v>0.63</v>
      </c>
      <c r="F41" s="208">
        <v>0.63</v>
      </c>
      <c r="G41" s="208">
        <v>0.63</v>
      </c>
      <c r="H41" s="208">
        <v>0.64</v>
      </c>
      <c r="I41" s="208">
        <v>0.63</v>
      </c>
      <c r="J41" s="207">
        <v>0.63</v>
      </c>
      <c r="K41" s="157">
        <v>26.48</v>
      </c>
      <c r="L41" s="156">
        <v>26.29</v>
      </c>
      <c r="M41" s="109"/>
      <c r="N41" s="108"/>
      <c r="O41" s="108" t="s">
        <v>20</v>
      </c>
      <c r="P41" s="107"/>
      <c r="Q41" s="106"/>
      <c r="R41" s="21">
        <v>46.4</v>
      </c>
      <c r="S41" s="20">
        <f t="shared" si="0"/>
        <v>13.647174824515419</v>
      </c>
      <c r="T41" s="19">
        <v>3</v>
      </c>
      <c r="V41" s="67">
        <v>29</v>
      </c>
      <c r="W41" s="19">
        <f t="shared" si="1"/>
        <v>0</v>
      </c>
      <c r="X41" s="19">
        <v>0</v>
      </c>
      <c r="Y41" s="18">
        <v>0</v>
      </c>
      <c r="Z41" s="19">
        <f t="shared" si="2"/>
        <v>0</v>
      </c>
    </row>
    <row r="42" spans="1:26" s="16" customFormat="1">
      <c r="M42" s="206"/>
      <c r="N42" s="206"/>
      <c r="O42" s="206"/>
      <c r="P42" s="205"/>
      <c r="W42" s="16">
        <f>SUM(W12:W41)</f>
        <v>0</v>
      </c>
      <c r="X42" s="16">
        <f>SUM(X12:X41)</f>
        <v>1</v>
      </c>
      <c r="Y42" s="16">
        <f>SUM(Y12:Y41)</f>
        <v>0</v>
      </c>
      <c r="Z42" s="16">
        <f>SUM(Z12:Z41)</f>
        <v>1</v>
      </c>
    </row>
    <row r="43" spans="1:26">
      <c r="M43" s="25"/>
      <c r="N43" s="24"/>
      <c r="O43" s="24"/>
      <c r="P43" s="23"/>
    </row>
    <row r="44" spans="1:26">
      <c r="A44" s="12" t="s">
        <v>17</v>
      </c>
      <c r="C44" s="1" t="s">
        <v>16</v>
      </c>
      <c r="E44" s="1" t="s">
        <v>15</v>
      </c>
      <c r="K44" s="1" t="s">
        <v>14</v>
      </c>
      <c r="R44" s="1" t="s">
        <v>13</v>
      </c>
      <c r="S44" s="1" t="s">
        <v>12</v>
      </c>
    </row>
    <row r="45" spans="1:26">
      <c r="A45" s="12"/>
    </row>
    <row r="46" spans="1:26">
      <c r="A46" s="1" t="s">
        <v>11</v>
      </c>
      <c r="C46" s="1">
        <f>8*25.4</f>
        <v>203.2</v>
      </c>
      <c r="E46" s="7">
        <f>C6</f>
        <v>0.63500000000000001</v>
      </c>
      <c r="K46" s="11">
        <v>25.4</v>
      </c>
    </row>
    <row r="47" spans="1:26">
      <c r="A47" s="1" t="s">
        <v>10</v>
      </c>
      <c r="C47" s="1">
        <f>MODE(C12:D41)</f>
        <v>204</v>
      </c>
      <c r="E47" s="1">
        <f>MODE(E12:J41)</f>
        <v>0.63</v>
      </c>
      <c r="K47" s="1">
        <f>MODE(K12:L41)</f>
        <v>26.29</v>
      </c>
      <c r="R47" s="1">
        <f>MODE(R12:R41)</f>
        <v>46.6</v>
      </c>
      <c r="S47" s="1" t="e">
        <f>MODE(S12:S41)</f>
        <v>#N/A</v>
      </c>
    </row>
    <row r="48" spans="1:26">
      <c r="A48" s="1" t="s">
        <v>9</v>
      </c>
      <c r="C48" s="10">
        <f>AVERAGE(C12:D41)</f>
        <v>204</v>
      </c>
      <c r="D48" s="10"/>
      <c r="E48" s="7">
        <f>AVERAGE(E12:J41)</f>
        <v>0.6309444444444442</v>
      </c>
      <c r="K48" s="6">
        <f>AVERAGE(K12:L41)</f>
        <v>26.350666666666665</v>
      </c>
      <c r="R48" s="9">
        <f>AVERAGE(R12:R41)</f>
        <v>46.253333333333337</v>
      </c>
      <c r="S48" s="9">
        <f>AVERAGE(S12:S41)</f>
        <v>13.635419782960273</v>
      </c>
    </row>
    <row r="49" spans="1:19">
      <c r="A49" s="1" t="s">
        <v>8</v>
      </c>
      <c r="C49" s="1">
        <f>STDEV(C12:D41)</f>
        <v>0</v>
      </c>
      <c r="E49" s="1">
        <f>STDEV(E12:J41)</f>
        <v>9.3770921522364041E-3</v>
      </c>
      <c r="K49" s="1">
        <f>STDEV(K12:L41)</f>
        <v>0.26321265918417036</v>
      </c>
      <c r="R49" s="1">
        <f>STDEV(R12:R41)</f>
        <v>1.2010723178242342</v>
      </c>
      <c r="S49" s="1">
        <f>STDEV(S12:S41)</f>
        <v>0.14329953543755844</v>
      </c>
    </row>
    <row r="50" spans="1:19">
      <c r="A50" s="8" t="s">
        <v>7</v>
      </c>
      <c r="E50" s="7">
        <f>E48+E49</f>
        <v>0.64032153659668056</v>
      </c>
      <c r="K50" s="6">
        <f>K48+K49</f>
        <v>26.613879325850835</v>
      </c>
      <c r="R50" s="1">
        <f>R48+R49</f>
        <v>47.454405651157572</v>
      </c>
      <c r="S50" s="9">
        <f>S48+S49</f>
        <v>13.778719318397831</v>
      </c>
    </row>
    <row r="51" spans="1:19">
      <c r="A51" s="8" t="s">
        <v>6</v>
      </c>
      <c r="E51" s="7">
        <f>E48-E49</f>
        <v>0.62156735229220783</v>
      </c>
      <c r="K51" s="6">
        <f>K48-K49</f>
        <v>26.087454007482496</v>
      </c>
      <c r="R51" s="1">
        <f>R48-R49</f>
        <v>45.052261015509103</v>
      </c>
      <c r="S51" s="9">
        <f>S48-S49</f>
        <v>13.492120247522715</v>
      </c>
    </row>
    <row r="52" spans="1:19">
      <c r="A52" s="1" t="s">
        <v>72</v>
      </c>
      <c r="C52" s="6">
        <f>MAX(C12:D41)-C46</f>
        <v>0.80000000000001137</v>
      </c>
      <c r="E52" s="7">
        <f>MAX($E$12:$I$41)-$E$46</f>
        <v>2.5000000000000022E-2</v>
      </c>
      <c r="K52" s="6">
        <f>MAX(K12:L41)-$K$46</f>
        <v>2.2600000000000016</v>
      </c>
    </row>
    <row r="53" spans="1:19">
      <c r="A53" s="1" t="s">
        <v>71</v>
      </c>
      <c r="C53" s="6">
        <f>MIN(C12:D41)-C46</f>
        <v>0.80000000000001137</v>
      </c>
      <c r="E53" s="7">
        <f>MIN($E$12:$I$41)-$E$46</f>
        <v>-3.5000000000000031E-2</v>
      </c>
      <c r="K53" s="6">
        <f>MIN(K12:L41)-K46</f>
        <v>0.58000000000000185</v>
      </c>
    </row>
    <row r="54" spans="1:19" ht="15" thickBot="1"/>
    <row r="55" spans="1:19">
      <c r="A55" s="1" t="s">
        <v>3</v>
      </c>
      <c r="C55" s="5" t="s">
        <v>2</v>
      </c>
      <c r="D55" s="5" t="s">
        <v>1</v>
      </c>
    </row>
    <row r="56" spans="1:19">
      <c r="A56" s="1">
        <v>0.59</v>
      </c>
      <c r="C56" s="4">
        <v>0.59</v>
      </c>
      <c r="D56" s="3">
        <v>0</v>
      </c>
    </row>
    <row r="57" spans="1:19">
      <c r="A57" s="1">
        <f t="shared" ref="A57:A65" si="3">A56+0.01</f>
        <v>0.6</v>
      </c>
      <c r="C57" s="4">
        <v>0.6</v>
      </c>
      <c r="D57" s="3">
        <v>1</v>
      </c>
    </row>
    <row r="58" spans="1:19">
      <c r="A58" s="1">
        <f t="shared" si="3"/>
        <v>0.61</v>
      </c>
      <c r="C58" s="4">
        <v>0.61</v>
      </c>
      <c r="D58" s="3">
        <v>8</v>
      </c>
    </row>
    <row r="59" spans="1:19">
      <c r="A59" s="1">
        <f t="shared" si="3"/>
        <v>0.62</v>
      </c>
      <c r="C59" s="4">
        <v>0.62</v>
      </c>
      <c r="D59" s="3">
        <v>28</v>
      </c>
    </row>
    <row r="60" spans="1:19">
      <c r="A60" s="1">
        <f t="shared" si="3"/>
        <v>0.63</v>
      </c>
      <c r="C60" s="4">
        <v>0.63</v>
      </c>
      <c r="D60" s="3">
        <v>89</v>
      </c>
    </row>
    <row r="61" spans="1:19">
      <c r="A61" s="1">
        <f t="shared" si="3"/>
        <v>0.64</v>
      </c>
      <c r="C61" s="4">
        <v>0.64</v>
      </c>
      <c r="D61" s="3">
        <v>47</v>
      </c>
    </row>
    <row r="62" spans="1:19">
      <c r="A62" s="1">
        <f t="shared" si="3"/>
        <v>0.65</v>
      </c>
      <c r="C62" s="4">
        <v>0.65</v>
      </c>
      <c r="D62" s="3">
        <v>4</v>
      </c>
    </row>
    <row r="63" spans="1:19">
      <c r="A63" s="1">
        <f t="shared" si="3"/>
        <v>0.66</v>
      </c>
      <c r="C63" s="4">
        <v>0.66</v>
      </c>
      <c r="D63" s="3">
        <v>3</v>
      </c>
    </row>
    <row r="64" spans="1:19">
      <c r="A64" s="1">
        <f t="shared" si="3"/>
        <v>0.67</v>
      </c>
      <c r="C64" s="4">
        <v>0.67</v>
      </c>
      <c r="D64" s="3">
        <v>0</v>
      </c>
    </row>
    <row r="65" spans="1:4">
      <c r="A65" s="1">
        <f t="shared" si="3"/>
        <v>0.68</v>
      </c>
      <c r="C65" s="4">
        <v>0.68</v>
      </c>
      <c r="D65" s="3">
        <v>0</v>
      </c>
    </row>
    <row r="66" spans="1:4" ht="15" thickBot="1">
      <c r="C66" s="2" t="s">
        <v>0</v>
      </c>
      <c r="D66" s="2">
        <v>0</v>
      </c>
    </row>
  </sheetData>
  <mergeCells count="4">
    <mergeCell ref="C9:D9"/>
    <mergeCell ref="E9:I9"/>
    <mergeCell ref="K9:L9"/>
    <mergeCell ref="M9:P9"/>
  </mergeCells>
  <phoneticPr fontId="16" type="noConversion"/>
  <pageMargins left="0.25" right="0.25" top="0.25" bottom="0.25" header="0.3" footer="0.3"/>
  <pageSetup orientation="landscape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8"/>
  <sheetViews>
    <sheetView topLeftCell="A10" zoomScale="125" zoomScaleNormal="125" zoomScalePageLayoutView="125" workbookViewId="0">
      <selection activeCell="T42" sqref="T42"/>
    </sheetView>
  </sheetViews>
  <sheetFormatPr baseColWidth="10" defaultColWidth="8.83203125" defaultRowHeight="14" x14ac:dyDescent="0"/>
  <cols>
    <col min="1" max="1" width="6.33203125" style="1" customWidth="1"/>
    <col min="2" max="2" width="16.1640625" style="1" customWidth="1"/>
    <col min="3" max="4" width="5.1640625" style="1" customWidth="1"/>
    <col min="5" max="9" width="5.5" style="1" customWidth="1"/>
    <col min="10" max="10" width="5.5" style="1" bestFit="1" customWidth="1"/>
    <col min="11" max="12" width="6.83203125" style="1" customWidth="1"/>
    <col min="13" max="16" width="3.6640625" style="1" customWidth="1"/>
    <col min="17" max="17" width="10.33203125" style="1" customWidth="1"/>
    <col min="18" max="18" width="5.5" style="1" customWidth="1"/>
    <col min="19" max="19" width="5.1640625" style="1" customWidth="1"/>
    <col min="20" max="20" width="9.83203125" style="1" customWidth="1"/>
    <col min="21" max="21" width="10.5" style="1" bestFit="1" customWidth="1"/>
    <col min="22" max="22" width="10.1640625" style="1" bestFit="1" customWidth="1"/>
    <col min="23" max="23" width="9.33203125" style="1" customWidth="1"/>
    <col min="24" max="24" width="9.5" style="1" customWidth="1"/>
    <col min="25" max="25" width="8.83203125" style="1" customWidth="1"/>
    <col min="26" max="16384" width="8.83203125" style="1"/>
  </cols>
  <sheetData>
    <row r="1" spans="1:27">
      <c r="A1" s="1" t="s">
        <v>49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8"/>
      <c r="S1" s="78"/>
      <c r="T1" s="78"/>
    </row>
    <row r="2" spans="1:27">
      <c r="A2" s="1" t="s">
        <v>48</v>
      </c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8"/>
      <c r="S2" s="78"/>
      <c r="T2" s="78"/>
    </row>
    <row r="3" spans="1:27">
      <c r="A3" s="1" t="s">
        <v>47</v>
      </c>
      <c r="B3" s="79"/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  <c r="R3" s="78"/>
      <c r="S3" s="78"/>
      <c r="T3" s="78"/>
    </row>
    <row r="4" spans="1:27">
      <c r="B4" s="79"/>
      <c r="C4" s="79"/>
      <c r="D4" s="79"/>
      <c r="E4" s="79"/>
      <c r="F4" s="79"/>
      <c r="G4" s="79"/>
      <c r="H4" s="79"/>
      <c r="I4" s="79"/>
      <c r="J4" s="79"/>
      <c r="K4" s="79"/>
      <c r="L4" s="79"/>
      <c r="M4" s="79"/>
      <c r="N4" s="79"/>
      <c r="O4" s="79"/>
      <c r="P4" s="79"/>
      <c r="Q4" s="79"/>
      <c r="R4" s="78"/>
      <c r="S4" s="78"/>
      <c r="T4" s="78"/>
    </row>
    <row r="5" spans="1:27">
      <c r="B5" s="79" t="s">
        <v>46</v>
      </c>
      <c r="C5" s="79" t="s">
        <v>45</v>
      </c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8"/>
      <c r="S5" s="78"/>
      <c r="T5" s="78"/>
    </row>
    <row r="6" spans="1:27">
      <c r="A6" s="1" t="s">
        <v>76</v>
      </c>
      <c r="B6" s="79">
        <v>2.5000000000000001E-2</v>
      </c>
      <c r="C6" s="79">
        <f>B6*25.4</f>
        <v>0.63500000000000001</v>
      </c>
      <c r="D6" s="79"/>
      <c r="E6" s="79"/>
      <c r="F6" s="79"/>
      <c r="G6" s="79"/>
      <c r="H6" s="79"/>
      <c r="I6" s="79"/>
      <c r="J6" s="79"/>
      <c r="K6" s="79"/>
      <c r="L6" s="79"/>
      <c r="M6" s="79"/>
      <c r="N6" s="79"/>
      <c r="O6" s="79"/>
      <c r="P6" s="79"/>
      <c r="Q6" s="79"/>
      <c r="R6" s="78"/>
      <c r="S6" s="78"/>
      <c r="T6" s="78"/>
    </row>
    <row r="7" spans="1:27">
      <c r="B7" s="79"/>
      <c r="C7" s="79"/>
      <c r="D7" s="79"/>
      <c r="E7" s="79"/>
      <c r="F7" s="79"/>
      <c r="G7" s="79"/>
      <c r="H7" s="79"/>
      <c r="I7" s="79"/>
      <c r="J7" s="79"/>
      <c r="K7" s="79"/>
      <c r="L7" s="79"/>
      <c r="M7" s="79"/>
      <c r="N7" s="79"/>
      <c r="O7" s="79"/>
      <c r="P7" s="79"/>
      <c r="Q7" s="79"/>
      <c r="R7" s="78"/>
      <c r="S7" s="78"/>
      <c r="T7" s="78"/>
    </row>
    <row r="8" spans="1:27">
      <c r="A8" s="77" t="s">
        <v>43</v>
      </c>
      <c r="B8" s="79"/>
      <c r="C8" s="79"/>
      <c r="D8" s="79"/>
      <c r="E8" s="79"/>
      <c r="F8" s="79"/>
      <c r="G8" s="79"/>
      <c r="H8" s="79"/>
      <c r="I8" s="79"/>
      <c r="J8" s="79"/>
      <c r="K8" s="79"/>
      <c r="L8" s="79"/>
      <c r="M8" s="79"/>
      <c r="N8" s="79"/>
      <c r="O8" s="79"/>
      <c r="P8" s="79"/>
      <c r="Q8" s="79"/>
      <c r="R8" s="78"/>
      <c r="S8" s="78"/>
      <c r="T8" s="78"/>
      <c r="V8" s="221" t="s">
        <v>42</v>
      </c>
      <c r="W8" s="221"/>
    </row>
    <row r="9" spans="1:27" ht="42">
      <c r="A9" s="71" t="s">
        <v>32</v>
      </c>
      <c r="B9" s="76" t="s">
        <v>41</v>
      </c>
      <c r="C9" s="386" t="s">
        <v>40</v>
      </c>
      <c r="D9" s="387"/>
      <c r="E9" s="385" t="s">
        <v>39</v>
      </c>
      <c r="F9" s="385"/>
      <c r="G9" s="385"/>
      <c r="H9" s="385"/>
      <c r="I9" s="385"/>
      <c r="J9" s="75"/>
      <c r="K9" s="386" t="s">
        <v>38</v>
      </c>
      <c r="L9" s="387"/>
      <c r="M9" s="386" t="s">
        <v>37</v>
      </c>
      <c r="N9" s="384"/>
      <c r="O9" s="384"/>
      <c r="P9" s="384"/>
      <c r="Q9" s="74" t="s">
        <v>36</v>
      </c>
      <c r="R9" s="204" t="s">
        <v>70</v>
      </c>
      <c r="S9" s="203" t="s">
        <v>69</v>
      </c>
      <c r="T9" s="220" t="s">
        <v>33</v>
      </c>
      <c r="V9" s="19" t="s">
        <v>32</v>
      </c>
      <c r="W9" s="69" t="s">
        <v>31</v>
      </c>
      <c r="X9" s="68" t="s">
        <v>30</v>
      </c>
      <c r="Y9" s="19" t="s">
        <v>29</v>
      </c>
      <c r="Z9" s="67" t="s">
        <v>51</v>
      </c>
      <c r="AA9" s="161" t="s">
        <v>27</v>
      </c>
    </row>
    <row r="10" spans="1:27">
      <c r="A10" s="16"/>
      <c r="B10" s="217"/>
      <c r="C10" s="219">
        <v>1</v>
      </c>
      <c r="D10" s="217">
        <v>2</v>
      </c>
      <c r="E10" s="219">
        <v>1</v>
      </c>
      <c r="F10" s="218">
        <v>2</v>
      </c>
      <c r="G10" s="218">
        <v>3</v>
      </c>
      <c r="H10" s="218">
        <v>4</v>
      </c>
      <c r="I10" s="218">
        <v>5</v>
      </c>
      <c r="J10" s="217">
        <v>6</v>
      </c>
      <c r="K10" s="219">
        <v>1</v>
      </c>
      <c r="L10" s="217">
        <v>2</v>
      </c>
      <c r="M10" s="219">
        <v>1</v>
      </c>
      <c r="N10" s="218">
        <v>2</v>
      </c>
      <c r="O10" s="218">
        <v>3</v>
      </c>
      <c r="P10" s="218">
        <v>4</v>
      </c>
      <c r="Q10" s="217"/>
      <c r="R10" s="216"/>
      <c r="S10" s="215"/>
      <c r="T10" s="214"/>
      <c r="V10" s="35"/>
      <c r="W10" s="52"/>
      <c r="X10" s="59"/>
      <c r="Y10" s="59"/>
      <c r="Z10" s="214"/>
    </row>
    <row r="11" spans="1:27">
      <c r="A11" s="12"/>
      <c r="B11" s="187"/>
      <c r="C11" s="177"/>
      <c r="D11" s="187"/>
      <c r="E11" s="177"/>
      <c r="F11" s="55"/>
      <c r="G11" s="55"/>
      <c r="H11" s="55"/>
      <c r="I11" s="55"/>
      <c r="J11" s="187"/>
      <c r="K11" s="177"/>
      <c r="L11" s="187"/>
      <c r="M11" s="177"/>
      <c r="N11" s="55"/>
      <c r="O11" s="55"/>
      <c r="P11" s="55"/>
      <c r="Q11" s="187"/>
      <c r="R11" s="37"/>
      <c r="S11" s="53"/>
      <c r="T11" s="35"/>
      <c r="V11" s="35"/>
      <c r="W11" s="52"/>
      <c r="X11" s="35"/>
      <c r="Y11" s="35"/>
      <c r="Z11" s="35"/>
    </row>
    <row r="12" spans="1:27">
      <c r="A12" s="44">
        <v>0</v>
      </c>
      <c r="B12" s="187" t="s">
        <v>64</v>
      </c>
      <c r="C12" s="177">
        <v>204</v>
      </c>
      <c r="D12" s="187">
        <v>204</v>
      </c>
      <c r="E12" s="177">
        <v>0.64</v>
      </c>
      <c r="F12" s="55">
        <v>0.65</v>
      </c>
      <c r="G12" s="55">
        <v>0.64</v>
      </c>
      <c r="H12" s="55">
        <v>0.66</v>
      </c>
      <c r="I12" s="55">
        <v>0.64</v>
      </c>
      <c r="J12" s="187">
        <v>0.66</v>
      </c>
      <c r="K12" s="177">
        <v>27.66</v>
      </c>
      <c r="L12" s="187">
        <v>27.63</v>
      </c>
      <c r="M12" s="177"/>
      <c r="N12" s="55"/>
      <c r="O12" s="55"/>
      <c r="P12" s="55"/>
      <c r="Q12" s="115" t="s">
        <v>21</v>
      </c>
      <c r="R12" s="37">
        <v>51.6</v>
      </c>
      <c r="S12" s="36">
        <f t="shared" ref="S12:S59" si="0">R12/(AVERAGE(C12:D12)*AVERAGE(E12:J12)*AVERAGE(K12:L12)*0.001)</f>
        <v>14.112520603664709</v>
      </c>
      <c r="T12" s="35">
        <v>1</v>
      </c>
      <c r="V12" s="172">
        <v>0</v>
      </c>
      <c r="W12" s="35">
        <f t="shared" ref="W12:W41" si="1">IF(OR(ABS(E12-$C$6)&gt;($C$6*0.1),ABS(F12-$C$6)&gt;($C$6*0.1),ABS(G12-$C$6)&gt;($C$6*0.1),ABS(H12-$C$6)&gt;($C$6*0.1),ABS(I12-$C$6)&gt;($C$6*0.1),ABS(J12-$C$6)&gt;($C$6*0.1)),1,0)</f>
        <v>0</v>
      </c>
      <c r="X12" s="35">
        <v>1</v>
      </c>
      <c r="Y12" s="34">
        <v>0</v>
      </c>
      <c r="Z12" s="35">
        <f t="shared" ref="Z12:Z41" si="2">IF(OR(M12="Y",N12="Y",O12="Y",P12="Y"),1,0)</f>
        <v>0</v>
      </c>
      <c r="AA12" t="s">
        <v>63</v>
      </c>
    </row>
    <row r="13" spans="1:27">
      <c r="A13" s="12">
        <v>1</v>
      </c>
      <c r="B13" s="187"/>
      <c r="C13" s="213">
        <v>204</v>
      </c>
      <c r="D13" s="182">
        <v>204</v>
      </c>
      <c r="E13" s="177">
        <v>0.62</v>
      </c>
      <c r="F13" s="55">
        <v>0.61</v>
      </c>
      <c r="G13" s="55">
        <v>0.62</v>
      </c>
      <c r="H13" s="55">
        <v>0.61</v>
      </c>
      <c r="I13" s="55">
        <v>0.62</v>
      </c>
      <c r="J13" s="187">
        <v>0.61</v>
      </c>
      <c r="K13" s="166">
        <v>26.38</v>
      </c>
      <c r="L13" s="165">
        <v>26.29</v>
      </c>
      <c r="M13" s="120"/>
      <c r="N13" s="45"/>
      <c r="O13" s="45"/>
      <c r="P13" s="23"/>
      <c r="Q13" s="115"/>
      <c r="R13" s="37">
        <v>45.2</v>
      </c>
      <c r="S13" s="36">
        <f t="shared" si="0"/>
        <v>13.680432541378543</v>
      </c>
      <c r="T13" s="35">
        <v>3</v>
      </c>
      <c r="V13" s="35">
        <v>1</v>
      </c>
      <c r="W13" s="35">
        <f t="shared" si="1"/>
        <v>0</v>
      </c>
      <c r="X13" s="35">
        <v>0</v>
      </c>
      <c r="Y13" s="34">
        <v>0</v>
      </c>
      <c r="Z13" s="35">
        <f t="shared" si="2"/>
        <v>0</v>
      </c>
    </row>
    <row r="14" spans="1:27">
      <c r="A14" s="12">
        <v>2</v>
      </c>
      <c r="B14" s="187"/>
      <c r="C14" s="213">
        <v>204</v>
      </c>
      <c r="D14" s="182">
        <v>204</v>
      </c>
      <c r="E14" s="122">
        <v>0.63</v>
      </c>
      <c r="F14" s="47">
        <v>0.62</v>
      </c>
      <c r="G14" s="47">
        <v>0.63</v>
      </c>
      <c r="H14" s="47">
        <v>0.62</v>
      </c>
      <c r="I14" s="47">
        <v>0.63</v>
      </c>
      <c r="J14" s="121">
        <v>0.62</v>
      </c>
      <c r="K14" s="166">
        <v>26.29</v>
      </c>
      <c r="L14" s="165">
        <v>26.39</v>
      </c>
      <c r="M14" s="120"/>
      <c r="N14" s="45"/>
      <c r="O14" s="45"/>
      <c r="P14" s="23"/>
      <c r="Q14" s="115"/>
      <c r="R14" s="37">
        <v>46.1</v>
      </c>
      <c r="S14" s="36">
        <f t="shared" si="0"/>
        <v>13.726979022436613</v>
      </c>
      <c r="T14" s="35">
        <v>3</v>
      </c>
      <c r="V14" s="35">
        <v>2</v>
      </c>
      <c r="W14" s="35">
        <f t="shared" si="1"/>
        <v>0</v>
      </c>
      <c r="X14" s="35">
        <v>0</v>
      </c>
      <c r="Y14" s="34">
        <v>0</v>
      </c>
      <c r="Z14" s="35">
        <f t="shared" si="2"/>
        <v>0</v>
      </c>
    </row>
    <row r="15" spans="1:27">
      <c r="A15" s="12">
        <v>3</v>
      </c>
      <c r="B15" s="187"/>
      <c r="C15" s="213">
        <v>204</v>
      </c>
      <c r="D15" s="182">
        <v>204</v>
      </c>
      <c r="E15" s="122">
        <v>0.64</v>
      </c>
      <c r="F15" s="47">
        <v>0.64</v>
      </c>
      <c r="G15" s="47">
        <v>0.64</v>
      </c>
      <c r="H15" s="47">
        <v>0.63</v>
      </c>
      <c r="I15" s="47">
        <v>0.64</v>
      </c>
      <c r="J15" s="121">
        <v>0.63</v>
      </c>
      <c r="K15" s="166">
        <v>26.38</v>
      </c>
      <c r="L15" s="165">
        <v>26.42</v>
      </c>
      <c r="M15" s="120"/>
      <c r="N15" s="45"/>
      <c r="O15" s="45"/>
      <c r="P15" s="23"/>
      <c r="Q15" s="40"/>
      <c r="R15" s="37">
        <v>46.5</v>
      </c>
      <c r="S15" s="36">
        <f t="shared" si="0"/>
        <v>13.561469328331047</v>
      </c>
      <c r="T15" s="35">
        <v>3</v>
      </c>
      <c r="V15" s="35">
        <v>3</v>
      </c>
      <c r="W15" s="35">
        <f t="shared" si="1"/>
        <v>0</v>
      </c>
      <c r="X15" s="35">
        <v>0</v>
      </c>
      <c r="Y15" s="34">
        <v>0</v>
      </c>
      <c r="Z15" s="35">
        <f t="shared" si="2"/>
        <v>0</v>
      </c>
    </row>
    <row r="16" spans="1:27">
      <c r="A16" s="12">
        <v>4</v>
      </c>
      <c r="B16" s="187"/>
      <c r="C16" s="213">
        <v>204</v>
      </c>
      <c r="D16" s="182">
        <v>204</v>
      </c>
      <c r="E16" s="122">
        <v>0.64</v>
      </c>
      <c r="F16" s="47">
        <v>0.63</v>
      </c>
      <c r="G16" s="47">
        <v>0.64</v>
      </c>
      <c r="H16" s="47">
        <v>0.63</v>
      </c>
      <c r="I16" s="47">
        <v>0.63</v>
      </c>
      <c r="J16" s="121">
        <v>0.63</v>
      </c>
      <c r="K16" s="166">
        <v>26.38</v>
      </c>
      <c r="L16" s="165">
        <v>26.31</v>
      </c>
      <c r="M16" s="120"/>
      <c r="N16" s="45"/>
      <c r="O16" s="45" t="s">
        <v>20</v>
      </c>
      <c r="P16" s="23"/>
      <c r="Q16" s="115"/>
      <c r="R16" s="37">
        <v>45.4</v>
      </c>
      <c r="S16" s="36">
        <f t="shared" si="0"/>
        <v>13.338135845681883</v>
      </c>
      <c r="T16" s="35">
        <v>3</v>
      </c>
      <c r="V16" s="35">
        <v>4</v>
      </c>
      <c r="W16" s="35">
        <f t="shared" si="1"/>
        <v>0</v>
      </c>
      <c r="X16" s="35">
        <v>0</v>
      </c>
      <c r="Y16" s="34">
        <v>0</v>
      </c>
      <c r="Z16" s="35">
        <f t="shared" si="2"/>
        <v>0</v>
      </c>
    </row>
    <row r="17" spans="1:27">
      <c r="A17" s="12">
        <v>5</v>
      </c>
      <c r="B17" s="187"/>
      <c r="C17" s="213">
        <v>204</v>
      </c>
      <c r="D17" s="182">
        <v>204</v>
      </c>
      <c r="E17" s="122">
        <v>0.63</v>
      </c>
      <c r="F17" s="47">
        <v>0.64</v>
      </c>
      <c r="G17" s="47">
        <v>0.63</v>
      </c>
      <c r="H17" s="47">
        <v>0.64</v>
      </c>
      <c r="I17" s="47">
        <v>0.63</v>
      </c>
      <c r="J17" s="121">
        <v>0.63</v>
      </c>
      <c r="K17" s="166">
        <v>26.45</v>
      </c>
      <c r="L17" s="165">
        <v>26.28</v>
      </c>
      <c r="M17" s="120"/>
      <c r="N17" s="45"/>
      <c r="O17" s="45"/>
      <c r="P17" s="23"/>
      <c r="Q17" s="115"/>
      <c r="R17" s="37">
        <v>45.4</v>
      </c>
      <c r="S17" s="36">
        <f t="shared" si="0"/>
        <v>13.328017783215973</v>
      </c>
      <c r="T17" s="35">
        <v>3</v>
      </c>
      <c r="V17" s="35">
        <v>5</v>
      </c>
      <c r="W17" s="35">
        <f t="shared" si="1"/>
        <v>0</v>
      </c>
      <c r="X17" s="35">
        <v>0</v>
      </c>
      <c r="Y17" s="34">
        <v>0</v>
      </c>
      <c r="Z17" s="35">
        <f t="shared" si="2"/>
        <v>0</v>
      </c>
    </row>
    <row r="18" spans="1:27">
      <c r="A18" s="12">
        <v>6</v>
      </c>
      <c r="B18" s="187"/>
      <c r="C18" s="213">
        <v>204</v>
      </c>
      <c r="D18" s="182">
        <v>204</v>
      </c>
      <c r="E18" s="122">
        <v>0.62</v>
      </c>
      <c r="F18" s="47">
        <v>0.63</v>
      </c>
      <c r="G18" s="47">
        <v>0.62</v>
      </c>
      <c r="H18" s="47">
        <v>0.63</v>
      </c>
      <c r="I18" s="47">
        <v>0.62</v>
      </c>
      <c r="J18" s="121">
        <v>0.63</v>
      </c>
      <c r="K18" s="166">
        <v>26.47</v>
      </c>
      <c r="L18" s="165">
        <v>26.29</v>
      </c>
      <c r="M18" s="120"/>
      <c r="N18" s="45"/>
      <c r="O18" s="45"/>
      <c r="P18" s="23"/>
      <c r="Q18" s="115"/>
      <c r="R18" s="37">
        <v>45.6</v>
      </c>
      <c r="S18" s="36">
        <f t="shared" si="0"/>
        <v>13.55750791597913</v>
      </c>
      <c r="T18" s="35">
        <v>3</v>
      </c>
      <c r="V18" s="35">
        <v>6</v>
      </c>
      <c r="W18" s="35">
        <f t="shared" si="1"/>
        <v>0</v>
      </c>
      <c r="X18" s="35">
        <v>0</v>
      </c>
      <c r="Y18" s="34">
        <v>0</v>
      </c>
      <c r="Z18" s="35">
        <f t="shared" si="2"/>
        <v>0</v>
      </c>
    </row>
    <row r="19" spans="1:27">
      <c r="A19" s="12">
        <v>7</v>
      </c>
      <c r="B19" s="187"/>
      <c r="C19" s="213">
        <v>204</v>
      </c>
      <c r="D19" s="182">
        <v>204</v>
      </c>
      <c r="E19" s="122">
        <v>0.63</v>
      </c>
      <c r="F19" s="47">
        <v>0.63</v>
      </c>
      <c r="G19" s="47">
        <v>0.63</v>
      </c>
      <c r="H19" s="47">
        <v>0.63</v>
      </c>
      <c r="I19" s="47">
        <v>0.63</v>
      </c>
      <c r="J19" s="121">
        <v>0.63</v>
      </c>
      <c r="K19" s="166">
        <v>26.26</v>
      </c>
      <c r="L19" s="165">
        <v>26.47</v>
      </c>
      <c r="M19" s="120"/>
      <c r="N19" s="45"/>
      <c r="O19" s="45"/>
      <c r="P19" s="23"/>
      <c r="Q19" s="115"/>
      <c r="R19" s="37">
        <v>45.7</v>
      </c>
      <c r="S19" s="36">
        <f t="shared" si="0"/>
        <v>13.487072979938967</v>
      </c>
      <c r="T19" s="35">
        <v>3</v>
      </c>
      <c r="V19" s="35">
        <v>7</v>
      </c>
      <c r="W19" s="35">
        <f t="shared" si="1"/>
        <v>0</v>
      </c>
      <c r="X19" s="35">
        <v>0</v>
      </c>
      <c r="Y19" s="34">
        <v>0</v>
      </c>
      <c r="Z19" s="35">
        <f t="shared" si="2"/>
        <v>0</v>
      </c>
    </row>
    <row r="20" spans="1:27" ht="42">
      <c r="A20" s="12">
        <v>8</v>
      </c>
      <c r="B20" s="187" t="s">
        <v>75</v>
      </c>
      <c r="C20" s="213">
        <v>204</v>
      </c>
      <c r="D20" s="182">
        <v>204</v>
      </c>
      <c r="E20" s="122">
        <v>0.62</v>
      </c>
      <c r="F20" s="47">
        <v>0.63</v>
      </c>
      <c r="G20" s="47">
        <v>0.62</v>
      </c>
      <c r="H20" s="47">
        <v>0.63</v>
      </c>
      <c r="I20" s="47">
        <v>0.62</v>
      </c>
      <c r="J20" s="121">
        <v>0.63</v>
      </c>
      <c r="K20" s="166">
        <v>26.18</v>
      </c>
      <c r="L20" s="165">
        <v>26.49</v>
      </c>
      <c r="M20" s="120"/>
      <c r="N20" s="45"/>
      <c r="O20" s="45"/>
      <c r="P20" s="23"/>
      <c r="Q20" s="40"/>
      <c r="R20" s="37">
        <v>45.5</v>
      </c>
      <c r="S20" s="36">
        <f t="shared" si="0"/>
        <v>13.550892162446903</v>
      </c>
      <c r="T20" s="35">
        <v>3</v>
      </c>
      <c r="V20" s="35">
        <v>8</v>
      </c>
      <c r="W20" s="35">
        <f t="shared" si="1"/>
        <v>0</v>
      </c>
      <c r="X20" s="35">
        <v>0</v>
      </c>
      <c r="Y20" s="34">
        <v>0</v>
      </c>
      <c r="Z20" s="35">
        <f t="shared" si="2"/>
        <v>0</v>
      </c>
    </row>
    <row r="21" spans="1:27">
      <c r="A21" s="12">
        <v>9</v>
      </c>
      <c r="B21" s="187"/>
      <c r="C21" s="213">
        <v>204</v>
      </c>
      <c r="D21" s="182">
        <v>204</v>
      </c>
      <c r="E21" s="122">
        <v>0.63</v>
      </c>
      <c r="F21" s="47">
        <v>0.62</v>
      </c>
      <c r="G21" s="47">
        <v>0.63</v>
      </c>
      <c r="H21" s="47">
        <v>0.63</v>
      </c>
      <c r="I21" s="47">
        <v>0.63</v>
      </c>
      <c r="J21" s="121">
        <v>0.63</v>
      </c>
      <c r="K21" s="166">
        <v>26.32</v>
      </c>
      <c r="L21" s="165">
        <v>26.4</v>
      </c>
      <c r="M21" s="120"/>
      <c r="N21" s="45"/>
      <c r="O21" s="45"/>
      <c r="P21" s="23"/>
      <c r="Q21" s="115"/>
      <c r="R21" s="37">
        <v>45.7</v>
      </c>
      <c r="S21" s="36">
        <f t="shared" si="0"/>
        <v>13.525412741140055</v>
      </c>
      <c r="T21" s="35">
        <v>3</v>
      </c>
      <c r="V21" s="35">
        <v>9</v>
      </c>
      <c r="W21" s="35">
        <f t="shared" si="1"/>
        <v>0</v>
      </c>
      <c r="X21" s="35">
        <v>0</v>
      </c>
      <c r="Y21" s="34">
        <v>0</v>
      </c>
      <c r="Z21" s="35">
        <f t="shared" si="2"/>
        <v>0</v>
      </c>
    </row>
    <row r="22" spans="1:27">
      <c r="A22" s="12">
        <v>10</v>
      </c>
      <c r="B22" s="187"/>
      <c r="C22" s="213">
        <v>204</v>
      </c>
      <c r="D22" s="182">
        <v>204</v>
      </c>
      <c r="E22" s="122">
        <v>0.6</v>
      </c>
      <c r="F22" s="47">
        <v>0.62</v>
      </c>
      <c r="G22" s="47">
        <v>0.61</v>
      </c>
      <c r="H22" s="47">
        <v>0.62</v>
      </c>
      <c r="I22" s="47">
        <v>0.61</v>
      </c>
      <c r="J22" s="121">
        <v>0.62</v>
      </c>
      <c r="K22" s="166">
        <v>26.36</v>
      </c>
      <c r="L22" s="165">
        <v>26.34</v>
      </c>
      <c r="M22" s="120"/>
      <c r="N22" s="45"/>
      <c r="O22" s="45"/>
      <c r="P22" s="23"/>
      <c r="Q22" s="40"/>
      <c r="R22" s="37">
        <v>44.8</v>
      </c>
      <c r="S22" s="36">
        <f t="shared" si="0"/>
        <v>13.588473092396761</v>
      </c>
      <c r="T22" s="35">
        <v>3</v>
      </c>
      <c r="V22" s="35">
        <v>10</v>
      </c>
      <c r="W22" s="35">
        <f t="shared" si="1"/>
        <v>0</v>
      </c>
      <c r="X22" s="35">
        <v>0</v>
      </c>
      <c r="Y22" s="34">
        <v>0</v>
      </c>
      <c r="Z22" s="35">
        <f t="shared" si="2"/>
        <v>0</v>
      </c>
    </row>
    <row r="23" spans="1:27">
      <c r="A23" s="44">
        <v>11</v>
      </c>
      <c r="B23" s="187" t="s">
        <v>74</v>
      </c>
      <c r="C23" s="213">
        <v>204</v>
      </c>
      <c r="D23" s="182">
        <v>204</v>
      </c>
      <c r="E23" s="122">
        <v>0.63</v>
      </c>
      <c r="F23" s="47">
        <v>0.63</v>
      </c>
      <c r="G23" s="47">
        <v>0.63</v>
      </c>
      <c r="H23" s="47">
        <v>0.63</v>
      </c>
      <c r="I23" s="47">
        <v>0.66</v>
      </c>
      <c r="J23" s="121">
        <v>0.63</v>
      </c>
      <c r="K23" s="166">
        <v>26.3</v>
      </c>
      <c r="L23" s="165">
        <v>26.38</v>
      </c>
      <c r="M23" s="120"/>
      <c r="N23" s="45"/>
      <c r="O23" s="45" t="s">
        <v>20</v>
      </c>
      <c r="P23" s="23"/>
      <c r="Q23" s="115"/>
      <c r="R23" s="37">
        <v>46.5</v>
      </c>
      <c r="S23" s="36">
        <f t="shared" si="0"/>
        <v>13.628036546349568</v>
      </c>
      <c r="T23" s="35">
        <v>3</v>
      </c>
      <c r="V23" s="172">
        <v>11</v>
      </c>
      <c r="W23" s="35">
        <f t="shared" si="1"/>
        <v>0</v>
      </c>
      <c r="X23" s="35">
        <v>0</v>
      </c>
      <c r="Y23" s="34">
        <v>0</v>
      </c>
      <c r="Z23" s="35">
        <f t="shared" si="2"/>
        <v>0</v>
      </c>
      <c r="AA23" t="s">
        <v>26</v>
      </c>
    </row>
    <row r="24" spans="1:27">
      <c r="A24" s="12">
        <v>12</v>
      </c>
      <c r="B24" s="187"/>
      <c r="C24" s="213">
        <v>204</v>
      </c>
      <c r="D24" s="182">
        <v>204</v>
      </c>
      <c r="E24" s="122">
        <v>0.64</v>
      </c>
      <c r="F24" s="47">
        <v>0.63</v>
      </c>
      <c r="G24" s="47">
        <v>0.63</v>
      </c>
      <c r="H24" s="47">
        <v>0.63</v>
      </c>
      <c r="I24" s="47">
        <v>0.63</v>
      </c>
      <c r="J24" s="121">
        <v>0.63</v>
      </c>
      <c r="K24" s="166">
        <v>26.27</v>
      </c>
      <c r="L24" s="165">
        <v>26.21</v>
      </c>
      <c r="M24" s="120"/>
      <c r="N24" s="45"/>
      <c r="O24" s="45"/>
      <c r="P24" s="23"/>
      <c r="Q24" s="115"/>
      <c r="R24" s="37">
        <v>46.7</v>
      </c>
      <c r="S24" s="36">
        <f t="shared" si="0"/>
        <v>13.811311576564471</v>
      </c>
      <c r="T24" s="35">
        <v>3</v>
      </c>
      <c r="V24" s="35">
        <v>12</v>
      </c>
      <c r="W24" s="35">
        <f t="shared" si="1"/>
        <v>0</v>
      </c>
      <c r="X24" s="35">
        <v>0</v>
      </c>
      <c r="Y24" s="34">
        <v>0</v>
      </c>
      <c r="Z24" s="35">
        <f t="shared" si="2"/>
        <v>0</v>
      </c>
    </row>
    <row r="25" spans="1:27">
      <c r="A25" s="12">
        <v>13</v>
      </c>
      <c r="B25" s="187"/>
      <c r="C25" s="213">
        <v>204</v>
      </c>
      <c r="D25" s="182">
        <v>204</v>
      </c>
      <c r="E25" s="122">
        <v>0.63</v>
      </c>
      <c r="F25" s="47">
        <v>0.63</v>
      </c>
      <c r="G25" s="47">
        <v>0.63</v>
      </c>
      <c r="H25" s="47">
        <v>0.64</v>
      </c>
      <c r="I25" s="47">
        <v>0.64</v>
      </c>
      <c r="J25" s="121">
        <v>0.63</v>
      </c>
      <c r="K25" s="166">
        <v>26.17</v>
      </c>
      <c r="L25" s="165">
        <v>26.14</v>
      </c>
      <c r="M25" s="120"/>
      <c r="N25" s="45"/>
      <c r="O25" s="45"/>
      <c r="P25" s="23"/>
      <c r="Q25" s="115"/>
      <c r="R25" s="37">
        <v>46.3</v>
      </c>
      <c r="S25" s="36">
        <f t="shared" si="0"/>
        <v>13.701362382983556</v>
      </c>
      <c r="T25" s="35">
        <v>3</v>
      </c>
      <c r="V25" s="35">
        <v>13</v>
      </c>
      <c r="W25" s="35">
        <f t="shared" si="1"/>
        <v>0</v>
      </c>
      <c r="X25" s="35">
        <v>0</v>
      </c>
      <c r="Y25" s="34">
        <v>0</v>
      </c>
      <c r="Z25" s="35">
        <f t="shared" si="2"/>
        <v>0</v>
      </c>
    </row>
    <row r="26" spans="1:27">
      <c r="A26" s="12">
        <v>14</v>
      </c>
      <c r="B26" s="187"/>
      <c r="C26" s="213">
        <v>204</v>
      </c>
      <c r="D26" s="182">
        <v>204</v>
      </c>
      <c r="E26" s="122">
        <v>0.64</v>
      </c>
      <c r="F26" s="47">
        <v>0.64</v>
      </c>
      <c r="G26" s="47">
        <v>0.64</v>
      </c>
      <c r="H26" s="47">
        <v>0.65</v>
      </c>
      <c r="I26" s="47">
        <v>0.65</v>
      </c>
      <c r="J26" s="121">
        <v>0.65</v>
      </c>
      <c r="K26" s="166">
        <v>26.28</v>
      </c>
      <c r="L26" s="165">
        <v>26.3</v>
      </c>
      <c r="M26" s="120"/>
      <c r="N26" s="45"/>
      <c r="O26" s="45" t="s">
        <v>20</v>
      </c>
      <c r="P26" s="23" t="s">
        <v>20</v>
      </c>
      <c r="Q26" s="40"/>
      <c r="R26" s="37">
        <v>47.1</v>
      </c>
      <c r="S26" s="36">
        <f t="shared" si="0"/>
        <v>13.615714581320249</v>
      </c>
      <c r="T26" s="35">
        <v>3</v>
      </c>
      <c r="V26" s="35">
        <v>14</v>
      </c>
      <c r="W26" s="35">
        <f t="shared" si="1"/>
        <v>0</v>
      </c>
      <c r="X26" s="35">
        <v>0</v>
      </c>
      <c r="Y26" s="34">
        <v>0</v>
      </c>
      <c r="Z26" s="35">
        <f t="shared" si="2"/>
        <v>0</v>
      </c>
    </row>
    <row r="27" spans="1:27">
      <c r="A27" s="12">
        <v>15</v>
      </c>
      <c r="B27" s="187"/>
      <c r="C27" s="213">
        <v>204</v>
      </c>
      <c r="D27" s="182">
        <v>204</v>
      </c>
      <c r="E27" s="122">
        <v>0.63</v>
      </c>
      <c r="F27" s="47">
        <v>0.63</v>
      </c>
      <c r="G27" s="47">
        <v>0.63</v>
      </c>
      <c r="H27" s="47">
        <v>0.63</v>
      </c>
      <c r="I27" s="47">
        <v>0.63</v>
      </c>
      <c r="J27" s="121">
        <v>0.63</v>
      </c>
      <c r="K27" s="166">
        <v>26.46</v>
      </c>
      <c r="L27" s="165">
        <v>26.25</v>
      </c>
      <c r="M27" s="120"/>
      <c r="N27" s="45"/>
      <c r="O27" s="45" t="s">
        <v>20</v>
      </c>
      <c r="P27" s="23"/>
      <c r="Q27" s="40"/>
      <c r="R27" s="37">
        <v>46.1</v>
      </c>
      <c r="S27" s="36">
        <f t="shared" si="0"/>
        <v>13.610284013265922</v>
      </c>
      <c r="T27" s="35">
        <v>3</v>
      </c>
      <c r="V27" s="35">
        <v>15</v>
      </c>
      <c r="W27" s="35">
        <f t="shared" si="1"/>
        <v>0</v>
      </c>
      <c r="X27" s="35">
        <v>0</v>
      </c>
      <c r="Y27" s="34">
        <v>0</v>
      </c>
      <c r="Z27" s="35">
        <f t="shared" si="2"/>
        <v>0</v>
      </c>
    </row>
    <row r="28" spans="1:27">
      <c r="A28" s="12">
        <v>16</v>
      </c>
      <c r="B28" s="187" t="s">
        <v>73</v>
      </c>
      <c r="C28" s="213">
        <v>204</v>
      </c>
      <c r="D28" s="182">
        <v>204</v>
      </c>
      <c r="E28" s="122">
        <v>0.64</v>
      </c>
      <c r="F28" s="47">
        <v>0.63</v>
      </c>
      <c r="G28" s="47">
        <v>0.63</v>
      </c>
      <c r="H28" s="47">
        <v>0.63</v>
      </c>
      <c r="I28" s="47">
        <v>0.64</v>
      </c>
      <c r="J28" s="121">
        <v>0.63</v>
      </c>
      <c r="K28" s="166">
        <v>26.34</v>
      </c>
      <c r="L28" s="165">
        <v>26.29</v>
      </c>
      <c r="M28" s="120"/>
      <c r="N28" s="45"/>
      <c r="O28" s="45"/>
      <c r="P28" s="23"/>
      <c r="Q28" s="40"/>
      <c r="R28" s="37">
        <v>46.6</v>
      </c>
      <c r="S28" s="36">
        <f t="shared" si="0"/>
        <v>13.706293541747431</v>
      </c>
      <c r="T28" s="35">
        <v>3</v>
      </c>
      <c r="V28" s="35">
        <v>16</v>
      </c>
      <c r="W28" s="35">
        <f t="shared" si="1"/>
        <v>0</v>
      </c>
      <c r="X28" s="35">
        <v>0</v>
      </c>
      <c r="Y28" s="34">
        <v>0</v>
      </c>
      <c r="Z28" s="35">
        <f t="shared" si="2"/>
        <v>0</v>
      </c>
    </row>
    <row r="29" spans="1:27">
      <c r="A29" s="12">
        <v>17</v>
      </c>
      <c r="B29" s="187"/>
      <c r="C29" s="213">
        <v>204</v>
      </c>
      <c r="D29" s="182">
        <v>204</v>
      </c>
      <c r="E29" s="122">
        <v>0.63</v>
      </c>
      <c r="F29" s="47">
        <v>0.61</v>
      </c>
      <c r="G29" s="47">
        <v>0.63</v>
      </c>
      <c r="H29" s="47">
        <v>0.61</v>
      </c>
      <c r="I29" s="47">
        <v>0.62</v>
      </c>
      <c r="J29" s="121">
        <v>0.62</v>
      </c>
      <c r="K29" s="166">
        <v>26</v>
      </c>
      <c r="L29" s="165">
        <v>26.19</v>
      </c>
      <c r="M29" s="120" t="s">
        <v>20</v>
      </c>
      <c r="N29" s="45"/>
      <c r="O29" s="45"/>
      <c r="P29" s="23"/>
      <c r="Q29" s="40"/>
      <c r="R29" s="37">
        <v>45.1</v>
      </c>
      <c r="S29" s="36">
        <f t="shared" si="0"/>
        <v>13.664614490017804</v>
      </c>
      <c r="T29" s="35">
        <v>3</v>
      </c>
      <c r="V29" s="35">
        <v>17</v>
      </c>
      <c r="W29" s="35">
        <f t="shared" si="1"/>
        <v>0</v>
      </c>
      <c r="X29" s="35">
        <v>0</v>
      </c>
      <c r="Y29" s="34">
        <v>0</v>
      </c>
      <c r="Z29" s="35">
        <f t="shared" si="2"/>
        <v>0</v>
      </c>
    </row>
    <row r="30" spans="1:27">
      <c r="A30" s="12">
        <v>18</v>
      </c>
      <c r="B30" s="187"/>
      <c r="C30" s="213">
        <v>204</v>
      </c>
      <c r="D30" s="182">
        <v>204</v>
      </c>
      <c r="E30" s="122">
        <v>0.63</v>
      </c>
      <c r="F30" s="47">
        <v>0.63</v>
      </c>
      <c r="G30" s="47">
        <v>0.63</v>
      </c>
      <c r="H30" s="47">
        <v>0.63</v>
      </c>
      <c r="I30" s="47">
        <v>0.63</v>
      </c>
      <c r="J30" s="121">
        <v>0.63</v>
      </c>
      <c r="K30" s="166">
        <v>26.36</v>
      </c>
      <c r="L30" s="165">
        <v>26.29</v>
      </c>
      <c r="M30" s="120"/>
      <c r="N30" s="45"/>
      <c r="O30" s="45"/>
      <c r="P30" s="23"/>
      <c r="Q30" s="40"/>
      <c r="R30" s="37">
        <v>45.9</v>
      </c>
      <c r="S30" s="36">
        <f t="shared" si="0"/>
        <v>13.566680233346897</v>
      </c>
      <c r="T30" s="35">
        <v>3</v>
      </c>
      <c r="V30" s="35">
        <v>18</v>
      </c>
      <c r="W30" s="35">
        <f t="shared" si="1"/>
        <v>0</v>
      </c>
      <c r="X30" s="35">
        <v>0</v>
      </c>
      <c r="Y30" s="34">
        <v>0</v>
      </c>
      <c r="Z30" s="35">
        <f t="shared" si="2"/>
        <v>0</v>
      </c>
    </row>
    <row r="31" spans="1:27">
      <c r="A31" s="12">
        <v>19</v>
      </c>
      <c r="B31" s="187"/>
      <c r="C31" s="213">
        <v>204</v>
      </c>
      <c r="D31" s="182">
        <v>204</v>
      </c>
      <c r="E31" s="122">
        <v>0.64</v>
      </c>
      <c r="F31" s="47">
        <v>0.64</v>
      </c>
      <c r="G31" s="47">
        <v>0.64</v>
      </c>
      <c r="H31" s="47">
        <v>0.64</v>
      </c>
      <c r="I31" s="47">
        <v>0.64</v>
      </c>
      <c r="J31" s="121">
        <v>0.64</v>
      </c>
      <c r="K31" s="166">
        <v>26.38</v>
      </c>
      <c r="L31" s="165">
        <v>26.31</v>
      </c>
      <c r="M31" s="120"/>
      <c r="N31" s="45"/>
      <c r="O31" s="45" t="s">
        <v>20</v>
      </c>
      <c r="P31" s="23"/>
      <c r="Q31" s="115" t="s">
        <v>21</v>
      </c>
      <c r="R31" s="37">
        <v>46.9</v>
      </c>
      <c r="S31" s="36">
        <f t="shared" si="0"/>
        <v>13.63529374551111</v>
      </c>
      <c r="T31" s="35">
        <v>3</v>
      </c>
      <c r="V31" s="35">
        <v>19</v>
      </c>
      <c r="W31" s="35">
        <f t="shared" si="1"/>
        <v>0</v>
      </c>
      <c r="X31" s="35">
        <v>0</v>
      </c>
      <c r="Y31" s="34">
        <v>0</v>
      </c>
      <c r="Z31" s="35">
        <f t="shared" si="2"/>
        <v>0</v>
      </c>
    </row>
    <row r="32" spans="1:27">
      <c r="A32" s="32">
        <v>20</v>
      </c>
      <c r="B32" s="54"/>
      <c r="C32" s="213">
        <v>204</v>
      </c>
      <c r="D32" s="182">
        <v>204</v>
      </c>
      <c r="E32" s="118">
        <v>0.62</v>
      </c>
      <c r="F32" s="42">
        <v>0.63</v>
      </c>
      <c r="G32" s="42">
        <v>0.62</v>
      </c>
      <c r="H32" s="42">
        <v>0.63</v>
      </c>
      <c r="I32" s="42">
        <v>0.63</v>
      </c>
      <c r="J32" s="212">
        <v>0.64</v>
      </c>
      <c r="K32" s="166">
        <v>26.28</v>
      </c>
      <c r="L32" s="165">
        <v>25.98</v>
      </c>
      <c r="M32" s="116"/>
      <c r="N32" s="25"/>
      <c r="O32" s="25"/>
      <c r="P32" s="23"/>
      <c r="Q32" s="40"/>
      <c r="R32" s="37">
        <v>45.9</v>
      </c>
      <c r="S32" s="36">
        <f t="shared" si="0"/>
        <v>13.704178556310465</v>
      </c>
      <c r="T32" s="35">
        <v>3</v>
      </c>
      <c r="V32" s="161">
        <v>20</v>
      </c>
      <c r="W32" s="35">
        <f t="shared" si="1"/>
        <v>0</v>
      </c>
      <c r="X32" s="35">
        <v>0</v>
      </c>
      <c r="Y32" s="34">
        <v>0</v>
      </c>
      <c r="Z32" s="35">
        <f t="shared" si="2"/>
        <v>0</v>
      </c>
    </row>
    <row r="33" spans="1:27">
      <c r="A33" s="32">
        <v>21</v>
      </c>
      <c r="B33" s="54"/>
      <c r="C33" s="213">
        <v>204</v>
      </c>
      <c r="D33" s="182">
        <v>204</v>
      </c>
      <c r="E33" s="118">
        <v>0.64</v>
      </c>
      <c r="F33" s="42">
        <v>0.64</v>
      </c>
      <c r="G33" s="42">
        <v>0.64</v>
      </c>
      <c r="H33" s="42">
        <v>0.64</v>
      </c>
      <c r="I33" s="42">
        <v>0.64</v>
      </c>
      <c r="J33" s="212">
        <v>0.64</v>
      </c>
      <c r="K33" s="166">
        <v>26.28</v>
      </c>
      <c r="L33" s="165">
        <v>26.42</v>
      </c>
      <c r="M33" s="116"/>
      <c r="N33" s="25" t="s">
        <v>22</v>
      </c>
      <c r="O33" s="25"/>
      <c r="P33" s="23"/>
      <c r="Q33" s="115" t="s">
        <v>21</v>
      </c>
      <c r="R33" s="37">
        <v>47.3</v>
      </c>
      <c r="S33" s="36">
        <f t="shared" si="0"/>
        <v>13.748976820329649</v>
      </c>
      <c r="T33" s="35">
        <v>3</v>
      </c>
      <c r="V33" s="161">
        <v>21</v>
      </c>
      <c r="W33" s="35">
        <f t="shared" si="1"/>
        <v>0</v>
      </c>
      <c r="X33" s="35">
        <v>0</v>
      </c>
      <c r="Y33" s="34">
        <v>0</v>
      </c>
      <c r="Z33" s="35">
        <f t="shared" si="2"/>
        <v>1</v>
      </c>
    </row>
    <row r="34" spans="1:27">
      <c r="A34" s="32">
        <v>22</v>
      </c>
      <c r="B34" s="54"/>
      <c r="C34" s="213">
        <v>204</v>
      </c>
      <c r="D34" s="182">
        <v>204</v>
      </c>
      <c r="E34" s="118">
        <v>0.63</v>
      </c>
      <c r="F34" s="42">
        <v>0.62</v>
      </c>
      <c r="G34" s="42">
        <v>0.64</v>
      </c>
      <c r="H34" s="42">
        <v>0.64</v>
      </c>
      <c r="I34" s="42">
        <v>0.64</v>
      </c>
      <c r="J34" s="212">
        <v>0.63</v>
      </c>
      <c r="K34" s="166">
        <v>26.32</v>
      </c>
      <c r="L34" s="165">
        <v>26.35</v>
      </c>
      <c r="M34" s="116"/>
      <c r="N34" s="25" t="s">
        <v>20</v>
      </c>
      <c r="O34" s="25" t="s">
        <v>20</v>
      </c>
      <c r="P34" s="23"/>
      <c r="Q34" s="115" t="s">
        <v>21</v>
      </c>
      <c r="R34" s="37">
        <v>46.6</v>
      </c>
      <c r="S34" s="36">
        <f t="shared" si="0"/>
        <v>13.695884357360303</v>
      </c>
      <c r="T34" s="35">
        <v>3</v>
      </c>
      <c r="V34" s="161">
        <v>22</v>
      </c>
      <c r="W34" s="35">
        <f t="shared" si="1"/>
        <v>0</v>
      </c>
      <c r="X34" s="35">
        <v>0</v>
      </c>
      <c r="Y34" s="34">
        <v>0</v>
      </c>
      <c r="Z34" s="35">
        <f t="shared" si="2"/>
        <v>0</v>
      </c>
    </row>
    <row r="35" spans="1:27">
      <c r="A35" s="32">
        <v>23</v>
      </c>
      <c r="B35" s="54"/>
      <c r="C35" s="213">
        <v>204</v>
      </c>
      <c r="D35" s="182">
        <v>204</v>
      </c>
      <c r="E35" s="118">
        <v>0.64</v>
      </c>
      <c r="F35" s="42">
        <v>0.64</v>
      </c>
      <c r="G35" s="42">
        <v>0.63</v>
      </c>
      <c r="H35" s="42">
        <v>0.63</v>
      </c>
      <c r="I35" s="42">
        <v>0.63</v>
      </c>
      <c r="J35" s="212">
        <v>0.62</v>
      </c>
      <c r="K35" s="166">
        <v>26.28</v>
      </c>
      <c r="L35" s="165">
        <v>26.44</v>
      </c>
      <c r="M35" s="116" t="s">
        <v>20</v>
      </c>
      <c r="N35" s="25"/>
      <c r="O35" s="25"/>
      <c r="P35" s="23"/>
      <c r="Q35" s="115" t="s">
        <v>21</v>
      </c>
      <c r="R35" s="37">
        <v>46.6</v>
      </c>
      <c r="S35" s="36">
        <f t="shared" si="0"/>
        <v>13.718997714756483</v>
      </c>
      <c r="T35" s="35">
        <v>3</v>
      </c>
      <c r="V35" s="161">
        <v>23</v>
      </c>
      <c r="W35" s="35">
        <f t="shared" si="1"/>
        <v>0</v>
      </c>
      <c r="X35" s="35">
        <v>0</v>
      </c>
      <c r="Y35" s="34">
        <v>0</v>
      </c>
      <c r="Z35" s="35">
        <f t="shared" si="2"/>
        <v>0</v>
      </c>
    </row>
    <row r="36" spans="1:27">
      <c r="A36" s="32">
        <v>24</v>
      </c>
      <c r="B36" s="54"/>
      <c r="C36" s="213">
        <v>204</v>
      </c>
      <c r="D36" s="182">
        <v>204</v>
      </c>
      <c r="E36" s="118">
        <v>0.63</v>
      </c>
      <c r="F36" s="42">
        <v>0.62</v>
      </c>
      <c r="G36" s="42">
        <v>0.63</v>
      </c>
      <c r="H36" s="42">
        <v>0.62</v>
      </c>
      <c r="I36" s="42">
        <v>0.62</v>
      </c>
      <c r="J36" s="212">
        <v>0.61</v>
      </c>
      <c r="K36" s="166">
        <v>26.25</v>
      </c>
      <c r="L36" s="165">
        <v>26.25</v>
      </c>
      <c r="M36" s="116" t="s">
        <v>20</v>
      </c>
      <c r="N36" s="25"/>
      <c r="O36" s="25"/>
      <c r="P36" s="23"/>
      <c r="Q36" s="40"/>
      <c r="R36" s="37">
        <v>44.8</v>
      </c>
      <c r="S36" s="36">
        <f t="shared" si="0"/>
        <v>13.457393681333121</v>
      </c>
      <c r="T36" s="35">
        <v>3</v>
      </c>
      <c r="V36" s="161">
        <v>24</v>
      </c>
      <c r="W36" s="35">
        <f t="shared" si="1"/>
        <v>0</v>
      </c>
      <c r="X36" s="35">
        <v>0</v>
      </c>
      <c r="Y36" s="34">
        <v>0</v>
      </c>
      <c r="Z36" s="35">
        <f t="shared" si="2"/>
        <v>0</v>
      </c>
    </row>
    <row r="37" spans="1:27">
      <c r="A37" s="32">
        <v>25</v>
      </c>
      <c r="B37" s="54"/>
      <c r="C37" s="213">
        <v>204</v>
      </c>
      <c r="D37" s="182">
        <v>204</v>
      </c>
      <c r="E37" s="118">
        <v>0.64</v>
      </c>
      <c r="F37" s="42">
        <v>0.64</v>
      </c>
      <c r="G37" s="42">
        <v>0.64</v>
      </c>
      <c r="H37" s="42">
        <v>0.63</v>
      </c>
      <c r="I37" s="42">
        <v>0.64</v>
      </c>
      <c r="J37" s="212">
        <v>0.63</v>
      </c>
      <c r="K37" s="166">
        <v>26.16</v>
      </c>
      <c r="L37" s="38">
        <v>26.22</v>
      </c>
      <c r="M37" s="116" t="s">
        <v>20</v>
      </c>
      <c r="N37" s="25"/>
      <c r="O37" s="25"/>
      <c r="P37" s="23"/>
      <c r="Q37" s="40"/>
      <c r="R37" s="37">
        <v>46.4</v>
      </c>
      <c r="S37" s="36">
        <f t="shared" si="0"/>
        <v>13.640811331939384</v>
      </c>
      <c r="T37" s="35">
        <v>3</v>
      </c>
      <c r="V37" s="161">
        <v>25</v>
      </c>
      <c r="W37" s="35">
        <f t="shared" si="1"/>
        <v>0</v>
      </c>
      <c r="X37" s="35">
        <v>0</v>
      </c>
      <c r="Y37" s="34">
        <v>0</v>
      </c>
      <c r="Z37" s="35">
        <f t="shared" si="2"/>
        <v>0</v>
      </c>
    </row>
    <row r="38" spans="1:27">
      <c r="A38" s="32">
        <v>26</v>
      </c>
      <c r="B38" s="54"/>
      <c r="C38" s="213">
        <v>204</v>
      </c>
      <c r="D38" s="182">
        <v>204</v>
      </c>
      <c r="E38" s="118">
        <v>0.64</v>
      </c>
      <c r="F38" s="42">
        <v>0.63</v>
      </c>
      <c r="G38" s="42">
        <v>0.64</v>
      </c>
      <c r="H38" s="42">
        <v>0.63</v>
      </c>
      <c r="I38" s="42">
        <v>0.64</v>
      </c>
      <c r="J38" s="212">
        <v>0.63</v>
      </c>
      <c r="K38" s="166">
        <v>26.24</v>
      </c>
      <c r="L38" s="165">
        <v>26.22</v>
      </c>
      <c r="M38" s="116"/>
      <c r="N38" s="25"/>
      <c r="O38" s="25"/>
      <c r="P38" s="23"/>
      <c r="Q38" s="115"/>
      <c r="R38" s="37">
        <v>46.7</v>
      </c>
      <c r="S38" s="36">
        <f t="shared" si="0"/>
        <v>13.744049076909054</v>
      </c>
      <c r="T38" s="35">
        <v>3</v>
      </c>
      <c r="V38" s="161">
        <v>26</v>
      </c>
      <c r="W38" s="35">
        <f t="shared" si="1"/>
        <v>0</v>
      </c>
      <c r="X38" s="35">
        <v>0</v>
      </c>
      <c r="Y38" s="34">
        <v>0</v>
      </c>
      <c r="Z38" s="35">
        <f t="shared" si="2"/>
        <v>0</v>
      </c>
    </row>
    <row r="39" spans="1:27">
      <c r="A39" s="32">
        <v>27</v>
      </c>
      <c r="B39" s="54"/>
      <c r="C39" s="213">
        <v>204</v>
      </c>
      <c r="D39" s="182">
        <v>204</v>
      </c>
      <c r="E39" s="118">
        <v>0.63</v>
      </c>
      <c r="F39" s="42">
        <v>0.63</v>
      </c>
      <c r="G39" s="42">
        <v>0.63</v>
      </c>
      <c r="H39" s="42">
        <v>0.62</v>
      </c>
      <c r="I39" s="42">
        <v>0.63</v>
      </c>
      <c r="J39" s="212">
        <v>0.62</v>
      </c>
      <c r="K39" s="166">
        <v>26.28</v>
      </c>
      <c r="L39" s="165">
        <v>26.42</v>
      </c>
      <c r="M39" s="116"/>
      <c r="N39" s="25"/>
      <c r="O39" s="25" t="s">
        <v>20</v>
      </c>
      <c r="P39" s="23"/>
      <c r="Q39" s="115"/>
      <c r="R39" s="37">
        <v>46</v>
      </c>
      <c r="S39" s="36">
        <f t="shared" si="0"/>
        <v>13.655589410862248</v>
      </c>
      <c r="T39" s="35">
        <v>3</v>
      </c>
      <c r="V39" s="161">
        <v>27</v>
      </c>
      <c r="W39" s="35">
        <f t="shared" si="1"/>
        <v>0</v>
      </c>
      <c r="X39" s="35">
        <v>0</v>
      </c>
      <c r="Y39" s="34">
        <v>0</v>
      </c>
      <c r="Z39" s="35">
        <f t="shared" si="2"/>
        <v>0</v>
      </c>
    </row>
    <row r="40" spans="1:27">
      <c r="A40" s="32">
        <v>28</v>
      </c>
      <c r="B40" s="54"/>
      <c r="C40" s="213">
        <v>204</v>
      </c>
      <c r="D40" s="182">
        <v>204</v>
      </c>
      <c r="E40" s="118">
        <v>0.63</v>
      </c>
      <c r="F40" s="42">
        <v>0.62</v>
      </c>
      <c r="G40" s="42">
        <v>0.64</v>
      </c>
      <c r="H40" s="42">
        <v>0.63</v>
      </c>
      <c r="I40" s="42">
        <v>0.64</v>
      </c>
      <c r="J40" s="212">
        <v>0.63</v>
      </c>
      <c r="K40" s="166">
        <v>26.25</v>
      </c>
      <c r="L40" s="165">
        <v>26.27</v>
      </c>
      <c r="M40" s="116"/>
      <c r="N40" s="25"/>
      <c r="O40" s="25"/>
      <c r="P40" s="23"/>
      <c r="Q40" s="115"/>
      <c r="R40" s="37">
        <v>46.2</v>
      </c>
      <c r="S40" s="36">
        <f t="shared" si="0"/>
        <v>13.653032586774479</v>
      </c>
      <c r="T40" s="35">
        <v>3</v>
      </c>
      <c r="V40" s="161">
        <v>28</v>
      </c>
      <c r="W40" s="35">
        <f t="shared" si="1"/>
        <v>0</v>
      </c>
      <c r="X40" s="35">
        <v>0</v>
      </c>
      <c r="Y40" s="34">
        <v>0</v>
      </c>
      <c r="Z40" s="35">
        <f t="shared" si="2"/>
        <v>0</v>
      </c>
    </row>
    <row r="41" spans="1:27">
      <c r="A41" s="211">
        <v>29</v>
      </c>
      <c r="B41" s="74"/>
      <c r="C41" s="210">
        <v>204</v>
      </c>
      <c r="D41" s="209">
        <v>204</v>
      </c>
      <c r="E41" s="112">
        <v>0.63</v>
      </c>
      <c r="F41" s="208">
        <v>0.63</v>
      </c>
      <c r="G41" s="208">
        <v>0.63</v>
      </c>
      <c r="H41" s="208">
        <v>0.64</v>
      </c>
      <c r="I41" s="208">
        <v>0.63</v>
      </c>
      <c r="J41" s="207">
        <v>0.63</v>
      </c>
      <c r="K41" s="157">
        <v>26.48</v>
      </c>
      <c r="L41" s="156">
        <v>26.29</v>
      </c>
      <c r="M41" s="109"/>
      <c r="N41" s="108"/>
      <c r="O41" s="108" t="s">
        <v>20</v>
      </c>
      <c r="P41" s="107"/>
      <c r="Q41" s="106"/>
      <c r="R41" s="21">
        <v>46.4</v>
      </c>
      <c r="S41" s="20">
        <f t="shared" si="0"/>
        <v>13.647174824515419</v>
      </c>
      <c r="T41" s="35">
        <v>3</v>
      </c>
      <c r="V41" s="67">
        <v>29</v>
      </c>
      <c r="W41" s="19">
        <f t="shared" si="1"/>
        <v>0</v>
      </c>
      <c r="X41" s="19">
        <v>0</v>
      </c>
      <c r="Y41" s="18">
        <v>0</v>
      </c>
      <c r="Z41" s="19">
        <f t="shared" si="2"/>
        <v>0</v>
      </c>
    </row>
    <row r="42" spans="1:27" s="16" customFormat="1" ht="15">
      <c r="A42">
        <v>30</v>
      </c>
      <c r="B42" s="125"/>
      <c r="C42" s="317">
        <v>204</v>
      </c>
      <c r="D42" s="318">
        <v>204</v>
      </c>
      <c r="E42" s="99">
        <v>0.55000000000000004</v>
      </c>
      <c r="F42" s="95">
        <v>0.54</v>
      </c>
      <c r="G42" s="95">
        <v>0.59</v>
      </c>
      <c r="H42" s="95">
        <v>0.54</v>
      </c>
      <c r="I42" s="95">
        <v>0.55000000000000004</v>
      </c>
      <c r="J42" s="319">
        <v>0.52</v>
      </c>
      <c r="K42" s="95">
        <v>26.33</v>
      </c>
      <c r="L42" s="319">
        <v>26.23</v>
      </c>
      <c r="M42" s="87"/>
      <c r="N42" s="87" t="s">
        <v>20</v>
      </c>
      <c r="O42" s="87"/>
      <c r="P42" s="87"/>
      <c r="Q42" s="321" t="s">
        <v>19</v>
      </c>
      <c r="R42" s="308">
        <v>39.9</v>
      </c>
      <c r="S42" s="36">
        <f t="shared" si="0"/>
        <v>13.572902200810368</v>
      </c>
      <c r="T42" s="214">
        <v>4</v>
      </c>
      <c r="U42" s="214"/>
      <c r="V42" s="35">
        <f>A42</f>
        <v>30</v>
      </c>
      <c r="W42" s="35"/>
      <c r="X42" s="214"/>
      <c r="Y42" s="214"/>
      <c r="Z42" s="214"/>
    </row>
    <row r="43" spans="1:27">
      <c r="A43">
        <v>31</v>
      </c>
      <c r="B43" s="125"/>
      <c r="C43" s="87">
        <v>204</v>
      </c>
      <c r="D43" s="125">
        <v>204</v>
      </c>
      <c r="E43" s="95">
        <v>0.54</v>
      </c>
      <c r="F43" s="95">
        <v>0.53</v>
      </c>
      <c r="G43" s="95">
        <v>0.59</v>
      </c>
      <c r="H43" s="95">
        <v>0.54</v>
      </c>
      <c r="I43" s="95">
        <v>0.55000000000000004</v>
      </c>
      <c r="J43" s="319">
        <v>0.53</v>
      </c>
      <c r="K43" s="95">
        <v>26.24</v>
      </c>
      <c r="L43" s="319">
        <v>26.41</v>
      </c>
      <c r="M43" s="87"/>
      <c r="N43" s="87"/>
      <c r="O43" s="87" t="s">
        <v>20</v>
      </c>
      <c r="P43" s="87"/>
      <c r="Q43" s="320"/>
      <c r="R43" s="322">
        <v>40.1</v>
      </c>
      <c r="S43" s="36">
        <f t="shared" si="0"/>
        <v>13.659136088595677</v>
      </c>
      <c r="T43" s="35">
        <v>4</v>
      </c>
      <c r="U43" s="35"/>
      <c r="V43" s="35">
        <f t="shared" ref="V43:V59" si="3">A43</f>
        <v>31</v>
      </c>
      <c r="W43" s="35"/>
      <c r="X43" s="35"/>
      <c r="Y43" s="35"/>
      <c r="Z43" s="35"/>
      <c r="AA43" s="1" t="s">
        <v>212</v>
      </c>
    </row>
    <row r="44" spans="1:27" ht="15">
      <c r="A44">
        <v>32</v>
      </c>
      <c r="B44" s="125"/>
      <c r="C44" s="317">
        <v>204</v>
      </c>
      <c r="D44" s="318">
        <v>204</v>
      </c>
      <c r="E44" s="95">
        <v>0.54</v>
      </c>
      <c r="F44" s="95">
        <v>0.53</v>
      </c>
      <c r="G44" s="95">
        <v>0.59</v>
      </c>
      <c r="H44" s="95">
        <v>0.53</v>
      </c>
      <c r="I44" s="95">
        <v>0.56000000000000005</v>
      </c>
      <c r="J44" s="319">
        <v>0.54</v>
      </c>
      <c r="K44" s="95">
        <v>26.23</v>
      </c>
      <c r="L44" s="319">
        <v>26.32</v>
      </c>
      <c r="M44" s="87"/>
      <c r="N44" s="87"/>
      <c r="O44" s="87" t="s">
        <v>20</v>
      </c>
      <c r="P44" s="87"/>
      <c r="Q44" s="320" t="s">
        <v>21</v>
      </c>
      <c r="R44" s="322">
        <v>39.200000000000003</v>
      </c>
      <c r="S44" s="36">
        <f t="shared" si="0"/>
        <v>13.337318651168383</v>
      </c>
      <c r="T44" s="35">
        <v>4</v>
      </c>
      <c r="U44" s="35"/>
      <c r="V44" s="35">
        <f t="shared" si="3"/>
        <v>32</v>
      </c>
      <c r="W44" s="35"/>
      <c r="X44" s="35"/>
      <c r="Y44" s="35"/>
      <c r="Z44" s="35"/>
    </row>
    <row r="45" spans="1:27">
      <c r="A45">
        <v>33</v>
      </c>
      <c r="B45" s="125" t="s">
        <v>149</v>
      </c>
      <c r="C45" s="87">
        <v>204</v>
      </c>
      <c r="D45" s="125">
        <v>204</v>
      </c>
      <c r="E45" s="95">
        <v>0.52</v>
      </c>
      <c r="F45" s="95">
        <v>0.54</v>
      </c>
      <c r="G45" s="95">
        <v>0.53</v>
      </c>
      <c r="H45" s="95">
        <v>0.54</v>
      </c>
      <c r="I45" s="95">
        <v>0.54</v>
      </c>
      <c r="J45" s="319">
        <v>0.54</v>
      </c>
      <c r="K45" s="95">
        <v>26.24</v>
      </c>
      <c r="L45" s="319">
        <v>26.24</v>
      </c>
      <c r="M45" s="87"/>
      <c r="N45" s="87"/>
      <c r="O45" s="87" t="s">
        <v>22</v>
      </c>
      <c r="P45" s="87"/>
      <c r="Q45" s="125"/>
      <c r="R45" s="322">
        <v>38.799999999999997</v>
      </c>
      <c r="S45" s="36">
        <f t="shared" si="0"/>
        <v>13.548273195761094</v>
      </c>
      <c r="T45" s="35">
        <v>4</v>
      </c>
      <c r="U45" s="35"/>
      <c r="V45" s="35">
        <f t="shared" si="3"/>
        <v>33</v>
      </c>
      <c r="W45" s="35"/>
      <c r="X45" s="35"/>
      <c r="Y45" s="35"/>
      <c r="Z45" s="35"/>
    </row>
    <row r="46" spans="1:27" ht="15">
      <c r="A46">
        <v>34</v>
      </c>
      <c r="B46" s="125" t="s">
        <v>150</v>
      </c>
      <c r="C46" s="317">
        <v>204</v>
      </c>
      <c r="D46" s="318">
        <v>204</v>
      </c>
      <c r="E46" s="95">
        <v>0.54</v>
      </c>
      <c r="F46" s="95">
        <v>0.52</v>
      </c>
      <c r="G46" s="95">
        <v>0.57999999999999996</v>
      </c>
      <c r="H46" s="95">
        <v>0.52</v>
      </c>
      <c r="I46" s="95">
        <v>0.54</v>
      </c>
      <c r="J46" s="319">
        <v>0.52</v>
      </c>
      <c r="K46" s="95">
        <v>26.27</v>
      </c>
      <c r="L46" s="319">
        <v>26.3</v>
      </c>
      <c r="M46" s="87"/>
      <c r="N46" s="87"/>
      <c r="O46" s="87"/>
      <c r="P46" s="87"/>
      <c r="Q46" s="125"/>
      <c r="R46" s="322">
        <v>39.5</v>
      </c>
      <c r="S46" s="36">
        <f t="shared" si="0"/>
        <v>13.72632651740717</v>
      </c>
      <c r="T46" s="35">
        <v>4</v>
      </c>
      <c r="U46" s="35"/>
      <c r="V46" s="35">
        <f t="shared" si="3"/>
        <v>34</v>
      </c>
      <c r="W46" s="35"/>
      <c r="X46" s="35"/>
      <c r="Y46" s="35"/>
      <c r="Z46" s="35"/>
    </row>
    <row r="47" spans="1:27">
      <c r="A47">
        <v>35</v>
      </c>
      <c r="B47" s="125"/>
      <c r="C47" s="87">
        <v>204</v>
      </c>
      <c r="D47" s="125">
        <v>204</v>
      </c>
      <c r="E47" s="95">
        <v>0.5</v>
      </c>
      <c r="F47" s="95">
        <v>0.5</v>
      </c>
      <c r="G47" s="95">
        <v>0.5</v>
      </c>
      <c r="H47" s="95">
        <v>0.49</v>
      </c>
      <c r="I47" s="95">
        <v>0.51</v>
      </c>
      <c r="J47" s="319">
        <v>0.49</v>
      </c>
      <c r="K47" s="95">
        <v>26.21</v>
      </c>
      <c r="L47" s="319">
        <v>26.19</v>
      </c>
      <c r="M47"/>
      <c r="N47"/>
      <c r="O47"/>
      <c r="P47" s="87" t="s">
        <v>20</v>
      </c>
      <c r="Q47" s="320" t="s">
        <v>21</v>
      </c>
      <c r="R47" s="322">
        <v>36.799999999999997</v>
      </c>
      <c r="S47" s="36">
        <f t="shared" si="0"/>
        <v>13.816448481917721</v>
      </c>
      <c r="T47" s="35">
        <v>4</v>
      </c>
      <c r="U47" s="35"/>
      <c r="V47" s="35">
        <f t="shared" si="3"/>
        <v>35</v>
      </c>
      <c r="W47" s="35"/>
      <c r="X47" s="35"/>
      <c r="Y47" s="35"/>
      <c r="Z47" s="35"/>
    </row>
    <row r="48" spans="1:27" ht="15">
      <c r="A48">
        <v>36</v>
      </c>
      <c r="B48" s="125"/>
      <c r="C48" s="317">
        <v>204</v>
      </c>
      <c r="D48" s="318">
        <v>204</v>
      </c>
      <c r="E48" s="95">
        <v>0.51</v>
      </c>
      <c r="F48" s="95">
        <v>0.53</v>
      </c>
      <c r="G48" s="95">
        <v>0.5</v>
      </c>
      <c r="H48" s="95">
        <v>0.55000000000000004</v>
      </c>
      <c r="I48" s="95">
        <v>0.5</v>
      </c>
      <c r="J48" s="319">
        <v>0.52</v>
      </c>
      <c r="K48" s="95">
        <v>26.28</v>
      </c>
      <c r="L48" s="319">
        <v>26.2</v>
      </c>
      <c r="M48"/>
      <c r="N48"/>
      <c r="O48"/>
      <c r="P48" s="87" t="s">
        <v>22</v>
      </c>
      <c r="Q48" s="320" t="s">
        <v>21</v>
      </c>
      <c r="R48" s="322">
        <v>36.9</v>
      </c>
      <c r="S48" s="36">
        <f t="shared" si="0"/>
        <v>13.299129941365614</v>
      </c>
      <c r="T48" s="35">
        <v>4</v>
      </c>
      <c r="U48" s="35"/>
      <c r="V48" s="35">
        <f t="shared" si="3"/>
        <v>36</v>
      </c>
      <c r="W48" s="35"/>
      <c r="X48" s="35"/>
      <c r="Y48" s="35"/>
      <c r="Z48" s="35"/>
    </row>
    <row r="49" spans="1:26">
      <c r="A49">
        <v>37</v>
      </c>
      <c r="B49" s="125"/>
      <c r="C49" s="87">
        <v>204</v>
      </c>
      <c r="D49" s="125">
        <v>204</v>
      </c>
      <c r="E49" s="95">
        <v>0.5</v>
      </c>
      <c r="F49" s="95">
        <v>0.51</v>
      </c>
      <c r="G49" s="95">
        <v>0.5</v>
      </c>
      <c r="H49" s="95">
        <v>0.55000000000000004</v>
      </c>
      <c r="I49" s="95">
        <v>0.5</v>
      </c>
      <c r="J49" s="319">
        <v>0.52</v>
      </c>
      <c r="K49" s="95">
        <v>26.24</v>
      </c>
      <c r="L49" s="319">
        <v>26.28</v>
      </c>
      <c r="M49" t="s">
        <v>22</v>
      </c>
      <c r="N49"/>
      <c r="O49"/>
      <c r="P49" s="87"/>
      <c r="Q49" s="320" t="s">
        <v>21</v>
      </c>
      <c r="R49" s="322">
        <v>37.1</v>
      </c>
      <c r="S49" s="36">
        <f t="shared" si="0"/>
        <v>13.491168121337022</v>
      </c>
      <c r="T49" s="35">
        <v>4</v>
      </c>
      <c r="U49" s="35"/>
      <c r="V49" s="35">
        <f t="shared" si="3"/>
        <v>37</v>
      </c>
      <c r="W49" s="35"/>
      <c r="X49" s="35"/>
      <c r="Y49" s="35"/>
      <c r="Z49" s="35"/>
    </row>
    <row r="50" spans="1:26" ht="15">
      <c r="A50">
        <v>38</v>
      </c>
      <c r="B50" s="125"/>
      <c r="C50" s="317">
        <v>204</v>
      </c>
      <c r="D50" s="318">
        <v>204</v>
      </c>
      <c r="E50" s="95">
        <v>0.53</v>
      </c>
      <c r="F50" s="95">
        <v>0.53</v>
      </c>
      <c r="G50" s="95">
        <v>0.55000000000000004</v>
      </c>
      <c r="H50" s="95">
        <v>0.53</v>
      </c>
      <c r="I50" s="95">
        <v>0.53</v>
      </c>
      <c r="J50" s="319">
        <v>0.54</v>
      </c>
      <c r="K50" s="95">
        <v>26.22</v>
      </c>
      <c r="L50" s="319">
        <v>26.35</v>
      </c>
      <c r="M50"/>
      <c r="N50"/>
      <c r="O50"/>
      <c r="P50" s="87"/>
      <c r="Q50" s="125"/>
      <c r="R50" s="322">
        <v>39.299999999999997</v>
      </c>
      <c r="S50" s="36">
        <f t="shared" si="0"/>
        <v>13.699370759665662</v>
      </c>
      <c r="T50" s="35">
        <v>4</v>
      </c>
      <c r="U50" s="35"/>
      <c r="V50" s="35">
        <f t="shared" si="3"/>
        <v>38</v>
      </c>
      <c r="W50" s="35"/>
      <c r="X50" s="35"/>
      <c r="Y50" s="35"/>
      <c r="Z50" s="35"/>
    </row>
    <row r="51" spans="1:26">
      <c r="A51">
        <v>39</v>
      </c>
      <c r="B51" s="125"/>
      <c r="C51" s="87">
        <v>204</v>
      </c>
      <c r="D51" s="125">
        <v>204</v>
      </c>
      <c r="E51" s="95">
        <v>0.55000000000000004</v>
      </c>
      <c r="F51" s="95">
        <v>0.52</v>
      </c>
      <c r="G51" s="95">
        <v>0.59</v>
      </c>
      <c r="H51" s="95">
        <v>0.54</v>
      </c>
      <c r="I51" s="95">
        <v>0.54</v>
      </c>
      <c r="J51" s="319">
        <v>0.53</v>
      </c>
      <c r="K51" s="95">
        <v>26.27</v>
      </c>
      <c r="L51" s="319">
        <v>26.21</v>
      </c>
      <c r="M51"/>
      <c r="N51"/>
      <c r="O51"/>
      <c r="P51" s="87"/>
      <c r="Q51" s="320" t="s">
        <v>21</v>
      </c>
      <c r="R51" s="322">
        <v>39.4</v>
      </c>
      <c r="S51" s="36">
        <f t="shared" si="0"/>
        <v>13.505346197552637</v>
      </c>
      <c r="T51" s="35">
        <v>4</v>
      </c>
      <c r="U51" s="35"/>
      <c r="V51" s="35">
        <f t="shared" si="3"/>
        <v>39</v>
      </c>
      <c r="W51" s="35"/>
      <c r="X51" s="35"/>
      <c r="Y51" s="35"/>
      <c r="Z51" s="35"/>
    </row>
    <row r="52" spans="1:26" ht="15">
      <c r="A52">
        <v>40</v>
      </c>
      <c r="B52" s="125"/>
      <c r="C52" s="317">
        <v>204</v>
      </c>
      <c r="D52" s="318">
        <v>204</v>
      </c>
      <c r="E52" s="95">
        <v>0.54</v>
      </c>
      <c r="F52" s="95">
        <v>0.53</v>
      </c>
      <c r="G52" s="95">
        <v>0.59</v>
      </c>
      <c r="H52" s="95">
        <v>0.53</v>
      </c>
      <c r="I52" s="95">
        <v>0.54</v>
      </c>
      <c r="J52" s="319">
        <v>0.52</v>
      </c>
      <c r="K52" s="95">
        <v>26.31</v>
      </c>
      <c r="L52" s="319">
        <v>26.25</v>
      </c>
      <c r="M52"/>
      <c r="N52"/>
      <c r="O52"/>
      <c r="P52" s="87"/>
      <c r="Q52" s="320" t="s">
        <v>21</v>
      </c>
      <c r="R52" s="322">
        <v>39.4</v>
      </c>
      <c r="S52" s="36">
        <f t="shared" si="0"/>
        <v>13.567773438845153</v>
      </c>
      <c r="T52" s="35">
        <v>4</v>
      </c>
      <c r="U52" s="35"/>
      <c r="V52" s="35">
        <f t="shared" si="3"/>
        <v>40</v>
      </c>
      <c r="W52" s="35"/>
      <c r="X52" s="35"/>
      <c r="Y52" s="35"/>
      <c r="Z52" s="35"/>
    </row>
    <row r="53" spans="1:26">
      <c r="A53">
        <v>41</v>
      </c>
      <c r="B53" s="125"/>
      <c r="C53" s="87">
        <v>204</v>
      </c>
      <c r="D53" s="125">
        <v>204</v>
      </c>
      <c r="E53" s="95">
        <v>0.53</v>
      </c>
      <c r="F53" s="95">
        <v>0.51</v>
      </c>
      <c r="G53" s="95">
        <v>0.53</v>
      </c>
      <c r="H53" s="95">
        <v>0.53</v>
      </c>
      <c r="I53" s="95">
        <v>0.53</v>
      </c>
      <c r="J53" s="319">
        <v>0.52</v>
      </c>
      <c r="K53" s="95">
        <v>26.19</v>
      </c>
      <c r="L53" s="319">
        <v>26.31</v>
      </c>
      <c r="M53"/>
      <c r="N53"/>
      <c r="O53"/>
      <c r="P53" s="87" t="s">
        <v>20</v>
      </c>
      <c r="Q53" s="320" t="s">
        <v>21</v>
      </c>
      <c r="R53" s="322">
        <v>38.799999999999997</v>
      </c>
      <c r="S53" s="36">
        <f t="shared" si="0"/>
        <v>13.801075985949934</v>
      </c>
      <c r="T53" s="35">
        <v>4</v>
      </c>
      <c r="U53" s="35"/>
      <c r="V53" s="35">
        <f t="shared" si="3"/>
        <v>41</v>
      </c>
      <c r="W53" s="35"/>
      <c r="X53" s="35"/>
      <c r="Y53" s="35"/>
      <c r="Z53" s="35"/>
    </row>
    <row r="54" spans="1:26" ht="15">
      <c r="A54">
        <v>42</v>
      </c>
      <c r="B54" s="125" t="s">
        <v>151</v>
      </c>
      <c r="C54" s="317">
        <v>204</v>
      </c>
      <c r="D54" s="318">
        <v>204</v>
      </c>
      <c r="E54" s="95">
        <v>0.55000000000000004</v>
      </c>
      <c r="F54" s="95">
        <v>0.53</v>
      </c>
      <c r="G54" s="95">
        <v>0.56999999999999995</v>
      </c>
      <c r="H54" s="95">
        <v>0.53</v>
      </c>
      <c r="I54" s="95">
        <v>0.53</v>
      </c>
      <c r="J54" s="319">
        <v>0.53</v>
      </c>
      <c r="K54" s="95">
        <v>26.27</v>
      </c>
      <c r="L54" s="319">
        <v>26.23</v>
      </c>
      <c r="M54"/>
      <c r="N54"/>
      <c r="O54"/>
      <c r="P54" s="87"/>
      <c r="Q54" s="320" t="s">
        <v>21</v>
      </c>
      <c r="R54" s="322">
        <v>39.4</v>
      </c>
      <c r="S54" s="36">
        <f t="shared" si="0"/>
        <v>13.625203167686827</v>
      </c>
      <c r="T54" s="35">
        <v>4</v>
      </c>
      <c r="U54" s="35"/>
      <c r="V54" s="35">
        <f t="shared" si="3"/>
        <v>42</v>
      </c>
      <c r="W54" s="35"/>
      <c r="X54" s="35"/>
      <c r="Y54" s="35"/>
      <c r="Z54" s="35"/>
    </row>
    <row r="55" spans="1:26">
      <c r="A55">
        <v>43</v>
      </c>
      <c r="B55" s="125"/>
      <c r="C55" s="87">
        <v>204</v>
      </c>
      <c r="D55" s="125">
        <v>204</v>
      </c>
      <c r="E55" s="95">
        <v>0.53</v>
      </c>
      <c r="F55" s="95">
        <v>0.55000000000000004</v>
      </c>
      <c r="G55" s="95">
        <v>0.53</v>
      </c>
      <c r="H55" s="95">
        <v>0.56999999999999995</v>
      </c>
      <c r="I55" s="95">
        <v>0.53</v>
      </c>
      <c r="J55" s="319">
        <v>0.55000000000000004</v>
      </c>
      <c r="K55" s="95">
        <v>26.31</v>
      </c>
      <c r="L55" s="319">
        <v>26.19</v>
      </c>
      <c r="M55"/>
      <c r="N55"/>
      <c r="O55" t="s">
        <v>20</v>
      </c>
      <c r="P55" s="87"/>
      <c r="Q55" s="125"/>
      <c r="R55" s="322">
        <v>39.200000000000003</v>
      </c>
      <c r="S55" s="36">
        <f t="shared" si="0"/>
        <v>13.472873812101527</v>
      </c>
      <c r="T55" s="35">
        <v>4</v>
      </c>
      <c r="U55" s="35"/>
      <c r="V55" s="35">
        <f t="shared" si="3"/>
        <v>43</v>
      </c>
      <c r="W55" s="35"/>
      <c r="X55" s="35"/>
      <c r="Y55" s="35"/>
      <c r="Z55" s="35"/>
    </row>
    <row r="56" spans="1:26" ht="15">
      <c r="A56">
        <v>44</v>
      </c>
      <c r="B56" s="125"/>
      <c r="C56" s="317">
        <v>204</v>
      </c>
      <c r="D56" s="318">
        <v>204</v>
      </c>
      <c r="E56" s="95">
        <v>0.54</v>
      </c>
      <c r="F56" s="95">
        <v>0.52</v>
      </c>
      <c r="G56" s="95">
        <v>0.54</v>
      </c>
      <c r="H56" s="95">
        <v>0.53</v>
      </c>
      <c r="I56" s="95">
        <v>0.54</v>
      </c>
      <c r="J56" s="319">
        <v>0.53</v>
      </c>
      <c r="K56" s="95">
        <v>26.35</v>
      </c>
      <c r="L56" s="319">
        <v>26.21</v>
      </c>
      <c r="M56"/>
      <c r="N56" t="s">
        <v>20</v>
      </c>
      <c r="O56"/>
      <c r="P56" s="87" t="s">
        <v>20</v>
      </c>
      <c r="Q56" s="125"/>
      <c r="R56" s="322">
        <v>39.700000000000003</v>
      </c>
      <c r="S56" s="36">
        <f t="shared" si="0"/>
        <v>13.884692004655744</v>
      </c>
      <c r="T56" s="35">
        <v>4</v>
      </c>
      <c r="U56" s="35"/>
      <c r="V56" s="35">
        <f t="shared" si="3"/>
        <v>44</v>
      </c>
      <c r="W56" s="35"/>
      <c r="X56" s="35"/>
      <c r="Y56" s="35"/>
      <c r="Z56" s="35"/>
    </row>
    <row r="57" spans="1:26">
      <c r="A57">
        <v>45</v>
      </c>
      <c r="B57" s="125"/>
      <c r="C57" s="87">
        <v>204</v>
      </c>
      <c r="D57" s="125">
        <v>204</v>
      </c>
      <c r="E57" s="95">
        <v>0.56000000000000005</v>
      </c>
      <c r="F57" s="95">
        <v>0.53</v>
      </c>
      <c r="G57" s="95">
        <v>0.57999999999999996</v>
      </c>
      <c r="H57" s="95">
        <v>0.53</v>
      </c>
      <c r="I57" s="95">
        <v>0.53</v>
      </c>
      <c r="J57" s="319">
        <v>0.53</v>
      </c>
      <c r="K57" s="95">
        <v>26.31</v>
      </c>
      <c r="L57" s="319">
        <v>26.23</v>
      </c>
      <c r="M57" t="s">
        <v>20</v>
      </c>
      <c r="N57" t="s">
        <v>20</v>
      </c>
      <c r="O57"/>
      <c r="P57" s="87"/>
      <c r="Q57" s="125"/>
      <c r="R57" s="322">
        <v>39.6</v>
      </c>
      <c r="S57" s="36">
        <f t="shared" si="0"/>
        <v>13.599990218996931</v>
      </c>
      <c r="T57" s="35">
        <v>4</v>
      </c>
      <c r="U57" s="35"/>
      <c r="V57" s="35">
        <f t="shared" si="3"/>
        <v>45</v>
      </c>
      <c r="W57" s="35"/>
      <c r="X57" s="35"/>
      <c r="Y57" s="35"/>
      <c r="Z57" s="35"/>
    </row>
    <row r="58" spans="1:26" ht="15">
      <c r="A58">
        <v>46</v>
      </c>
      <c r="B58" s="125"/>
      <c r="C58" s="317">
        <v>204</v>
      </c>
      <c r="D58" s="318">
        <v>204</v>
      </c>
      <c r="E58" s="95">
        <v>0.54</v>
      </c>
      <c r="F58" s="95">
        <v>0.53</v>
      </c>
      <c r="G58" s="95">
        <v>0.57999999999999996</v>
      </c>
      <c r="H58" s="95">
        <v>0.53</v>
      </c>
      <c r="I58" s="95">
        <v>0.55000000000000004</v>
      </c>
      <c r="J58" s="319">
        <v>0.53</v>
      </c>
      <c r="K58" s="95">
        <v>26.25</v>
      </c>
      <c r="L58" s="319">
        <v>26.3</v>
      </c>
      <c r="M58"/>
      <c r="N58"/>
      <c r="O58"/>
      <c r="P58" s="87"/>
      <c r="Q58" s="320" t="s">
        <v>19</v>
      </c>
      <c r="R58" s="322">
        <v>39.4</v>
      </c>
      <c r="S58" s="36">
        <f t="shared" si="0"/>
        <v>13.528728460907983</v>
      </c>
      <c r="T58" s="35">
        <v>4</v>
      </c>
      <c r="U58" s="35"/>
      <c r="V58" s="35">
        <f t="shared" si="3"/>
        <v>46</v>
      </c>
      <c r="W58" s="35"/>
      <c r="X58" s="35"/>
      <c r="Y58" s="35"/>
      <c r="Z58" s="35"/>
    </row>
    <row r="59" spans="1:26">
      <c r="A59">
        <v>47</v>
      </c>
      <c r="B59" s="125"/>
      <c r="C59" s="87">
        <v>204</v>
      </c>
      <c r="D59" s="125">
        <v>204</v>
      </c>
      <c r="E59" s="95">
        <v>0.54</v>
      </c>
      <c r="F59" s="95">
        <v>0.51</v>
      </c>
      <c r="G59" s="95">
        <v>0.53</v>
      </c>
      <c r="H59" s="95">
        <v>0.51</v>
      </c>
      <c r="I59" s="95">
        <v>0.53</v>
      </c>
      <c r="J59" s="319">
        <v>0.51</v>
      </c>
      <c r="K59" s="95">
        <v>26.27</v>
      </c>
      <c r="L59" s="319">
        <v>26.2</v>
      </c>
      <c r="M59"/>
      <c r="N59" t="s">
        <v>22</v>
      </c>
      <c r="O59"/>
      <c r="P59" s="87"/>
      <c r="Q59" s="320" t="s">
        <v>19</v>
      </c>
      <c r="R59" s="322">
        <v>39</v>
      </c>
      <c r="S59" s="36">
        <f t="shared" si="0"/>
        <v>13.968838101058958</v>
      </c>
      <c r="T59" s="35">
        <v>4</v>
      </c>
      <c r="U59" s="35"/>
      <c r="V59" s="35">
        <f t="shared" si="3"/>
        <v>47</v>
      </c>
      <c r="W59" s="35"/>
      <c r="X59" s="35"/>
      <c r="Y59" s="35"/>
      <c r="Z59" s="35"/>
    </row>
    <row r="76" spans="1:19">
      <c r="A76" s="12" t="s">
        <v>17</v>
      </c>
      <c r="C76" s="1" t="s">
        <v>16</v>
      </c>
      <c r="E76" s="1" t="s">
        <v>15</v>
      </c>
      <c r="K76" s="1" t="s">
        <v>14</v>
      </c>
      <c r="R76" s="1" t="s">
        <v>13</v>
      </c>
      <c r="S76" s="1" t="s">
        <v>12</v>
      </c>
    </row>
    <row r="77" spans="1:19">
      <c r="A77" s="12"/>
    </row>
    <row r="78" spans="1:19">
      <c r="A78" s="1" t="s">
        <v>11</v>
      </c>
      <c r="C78" s="1">
        <f>8*25.4</f>
        <v>203.2</v>
      </c>
      <c r="E78" s="7">
        <f>C6</f>
        <v>0.63500000000000001</v>
      </c>
      <c r="K78" s="11">
        <v>25.4</v>
      </c>
    </row>
    <row r="79" spans="1:19">
      <c r="A79" s="1" t="s">
        <v>10</v>
      </c>
      <c r="C79" s="1">
        <f>MODE(C12:D59)</f>
        <v>204</v>
      </c>
      <c r="E79" s="1">
        <f>MODE(E12:J59)</f>
        <v>0.63</v>
      </c>
      <c r="K79" s="1">
        <f>MODE(K12:L59)</f>
        <v>26.28</v>
      </c>
      <c r="R79" s="1">
        <f>MODE(R12:R59)</f>
        <v>39.4</v>
      </c>
      <c r="S79" s="1" t="e">
        <f>MODE(S12:S59)</f>
        <v>#N/A</v>
      </c>
    </row>
    <row r="80" spans="1:19">
      <c r="A80" s="1" t="s">
        <v>9</v>
      </c>
      <c r="C80" s="10">
        <f>AVERAGE(C12:D59)</f>
        <v>204</v>
      </c>
      <c r="D80" s="10"/>
      <c r="E80" s="7">
        <f>AVERAGE(E12:J59)</f>
        <v>0.59468750000000048</v>
      </c>
      <c r="K80" s="6">
        <f>AVERAGE(K12:L59)</f>
        <v>26.317499999999999</v>
      </c>
      <c r="R80" s="9">
        <f>AVERAGE(R12:R59)</f>
        <v>43.522916666666674</v>
      </c>
      <c r="S80" s="9">
        <f>AVERAGE(S12:S59)</f>
        <v>13.628483100720679</v>
      </c>
    </row>
    <row r="81" spans="1:19">
      <c r="A81" s="1" t="s">
        <v>8</v>
      </c>
      <c r="C81" s="1">
        <f>STDEV(C12:D59)</f>
        <v>0</v>
      </c>
      <c r="E81" s="1">
        <f>STDEV(E12:J59)</f>
        <v>4.9251253543536898E-2</v>
      </c>
      <c r="K81" s="1">
        <f>STDEV(K12:L59)</f>
        <v>0.21426496140108997</v>
      </c>
      <c r="R81" s="1">
        <f>STDEV(R12:R59)</f>
        <v>3.7334166419909578</v>
      </c>
      <c r="S81" s="1">
        <f>STDEV(S12:S59)</f>
        <v>0.15536901873530559</v>
      </c>
    </row>
    <row r="82" spans="1:19">
      <c r="A82" s="8" t="s">
        <v>7</v>
      </c>
      <c r="E82" s="7">
        <f>E80+E81</f>
        <v>0.64393875354353736</v>
      </c>
      <c r="K82" s="6">
        <f>K80+K81</f>
        <v>26.531764961401088</v>
      </c>
      <c r="R82" s="1">
        <f>R80+R81</f>
        <v>47.256333308657631</v>
      </c>
      <c r="S82" s="9">
        <f>S80+S81</f>
        <v>13.783852119455984</v>
      </c>
    </row>
    <row r="83" spans="1:19">
      <c r="A83" s="8" t="s">
        <v>6</v>
      </c>
      <c r="E83" s="7">
        <f>E80-E81</f>
        <v>0.5454362464564636</v>
      </c>
      <c r="K83" s="6">
        <f>K80-K81</f>
        <v>26.10323503859891</v>
      </c>
      <c r="R83" s="1">
        <f>R80-R81</f>
        <v>39.789500024675718</v>
      </c>
      <c r="S83" s="9">
        <f>S80-S81</f>
        <v>13.473114081985374</v>
      </c>
    </row>
    <row r="84" spans="1:19">
      <c r="A84" s="1" t="s">
        <v>72</v>
      </c>
      <c r="C84" s="6">
        <f>MAX(C12:D59)-C78</f>
        <v>0.80000000000001137</v>
      </c>
      <c r="E84" s="7">
        <f>MAX($E$12:$I$59)-$E$78</f>
        <v>2.5000000000000022E-2</v>
      </c>
      <c r="K84" s="6">
        <f>MAX(K12:L59)-$K$78</f>
        <v>2.2600000000000016</v>
      </c>
    </row>
    <row r="85" spans="1:19">
      <c r="A85" s="1" t="s">
        <v>71</v>
      </c>
      <c r="C85" s="6">
        <f>MIN(C12:D59)-C78</f>
        <v>0.80000000000001137</v>
      </c>
      <c r="E85" s="7">
        <f>MIN($E$12:$I$59)-$E$78</f>
        <v>-0.14500000000000002</v>
      </c>
      <c r="K85" s="6">
        <f>MIN(K12:L59)-K78</f>
        <v>0.58000000000000185</v>
      </c>
    </row>
    <row r="86" spans="1:19" ht="15" thickBot="1"/>
    <row r="87" spans="1:19">
      <c r="A87" s="1" t="s">
        <v>3</v>
      </c>
      <c r="C87" s="5" t="s">
        <v>2</v>
      </c>
      <c r="D87" s="5" t="s">
        <v>1</v>
      </c>
    </row>
    <row r="88" spans="1:19">
      <c r="A88" s="1">
        <v>0.59</v>
      </c>
      <c r="C88" s="4">
        <v>0.59</v>
      </c>
      <c r="D88" s="3">
        <v>0</v>
      </c>
    </row>
    <row r="89" spans="1:19">
      <c r="A89" s="1">
        <f t="shared" ref="A89:A97" si="4">A88+0.01</f>
        <v>0.6</v>
      </c>
      <c r="C89" s="4">
        <v>0.6</v>
      </c>
      <c r="D89" s="3">
        <v>1</v>
      </c>
    </row>
    <row r="90" spans="1:19">
      <c r="A90" s="1">
        <f t="shared" si="4"/>
        <v>0.61</v>
      </c>
      <c r="C90" s="4">
        <v>0.61</v>
      </c>
      <c r="D90" s="3">
        <v>8</v>
      </c>
    </row>
    <row r="91" spans="1:19">
      <c r="A91" s="1">
        <f t="shared" si="4"/>
        <v>0.62</v>
      </c>
      <c r="C91" s="4">
        <v>0.62</v>
      </c>
      <c r="D91" s="3">
        <v>28</v>
      </c>
    </row>
    <row r="92" spans="1:19">
      <c r="A92" s="1">
        <f t="shared" si="4"/>
        <v>0.63</v>
      </c>
      <c r="C92" s="4">
        <v>0.63</v>
      </c>
      <c r="D92" s="3">
        <v>89</v>
      </c>
    </row>
    <row r="93" spans="1:19">
      <c r="A93" s="1">
        <f t="shared" si="4"/>
        <v>0.64</v>
      </c>
      <c r="C93" s="4">
        <v>0.64</v>
      </c>
      <c r="D93" s="3">
        <v>47</v>
      </c>
    </row>
    <row r="94" spans="1:19">
      <c r="A94" s="1">
        <f t="shared" si="4"/>
        <v>0.65</v>
      </c>
      <c r="C94" s="4">
        <v>0.65</v>
      </c>
      <c r="D94" s="3">
        <v>4</v>
      </c>
    </row>
    <row r="95" spans="1:19">
      <c r="A95" s="1">
        <f t="shared" si="4"/>
        <v>0.66</v>
      </c>
      <c r="C95" s="4">
        <v>0.66</v>
      </c>
      <c r="D95" s="3">
        <v>3</v>
      </c>
    </row>
    <row r="96" spans="1:19">
      <c r="A96" s="1">
        <f t="shared" si="4"/>
        <v>0.67</v>
      </c>
      <c r="C96" s="4">
        <v>0.67</v>
      </c>
      <c r="D96" s="3">
        <v>0</v>
      </c>
    </row>
    <row r="97" spans="1:4">
      <c r="A97" s="1">
        <f t="shared" si="4"/>
        <v>0.68</v>
      </c>
      <c r="C97" s="4">
        <v>0.68</v>
      </c>
      <c r="D97" s="3">
        <v>0</v>
      </c>
    </row>
    <row r="98" spans="1:4" ht="15" thickBot="1">
      <c r="C98" s="2" t="s">
        <v>0</v>
      </c>
      <c r="D98" s="2">
        <v>0</v>
      </c>
    </row>
  </sheetData>
  <mergeCells count="4">
    <mergeCell ref="C9:D9"/>
    <mergeCell ref="E9:I9"/>
    <mergeCell ref="K9:L9"/>
    <mergeCell ref="M9:P9"/>
  </mergeCells>
  <pageMargins left="0.25" right="0.25" top="0.25" bottom="0.25" header="0.3" footer="0.3"/>
  <pageSetup orientation="landscape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8"/>
  <sheetViews>
    <sheetView zoomScale="75" zoomScaleNormal="75" zoomScalePageLayoutView="75" workbookViewId="0">
      <selection activeCell="AC32" sqref="AC32"/>
    </sheetView>
  </sheetViews>
  <sheetFormatPr baseColWidth="10" defaultColWidth="8.83203125" defaultRowHeight="14" x14ac:dyDescent="0"/>
  <cols>
    <col min="1" max="1" width="6.33203125" style="1" customWidth="1"/>
    <col min="2" max="2" width="16.1640625" style="1" customWidth="1"/>
    <col min="3" max="4" width="5.1640625" style="1" customWidth="1"/>
    <col min="5" max="9" width="6.83203125" style="1" customWidth="1"/>
    <col min="10" max="10" width="6.83203125" style="1" bestFit="1" customWidth="1"/>
    <col min="11" max="12" width="6.83203125" style="1" customWidth="1"/>
    <col min="13" max="16" width="3.6640625" style="1" customWidth="1"/>
    <col min="17" max="17" width="7.1640625" style="1" customWidth="1"/>
    <col min="18" max="18" width="5.5" style="1" customWidth="1"/>
    <col min="19" max="19" width="5.1640625" style="1" customWidth="1"/>
    <col min="20" max="20" width="9.83203125" style="1" customWidth="1"/>
    <col min="21" max="22" width="8.83203125" style="1"/>
    <col min="23" max="25" width="9.33203125" style="1" bestFit="1" customWidth="1"/>
    <col min="26" max="16384" width="8.83203125" style="1"/>
  </cols>
  <sheetData>
    <row r="1" spans="1:26">
      <c r="A1" s="1" t="s">
        <v>49</v>
      </c>
      <c r="B1" s="79"/>
      <c r="C1" s="80"/>
      <c r="D1" s="80"/>
      <c r="E1" s="79"/>
      <c r="F1" s="79"/>
      <c r="G1" s="79"/>
      <c r="H1" s="79"/>
      <c r="I1" s="79"/>
      <c r="J1" s="79"/>
      <c r="K1" s="80"/>
      <c r="L1" s="80"/>
      <c r="M1" s="79"/>
      <c r="N1" s="79"/>
      <c r="O1" s="79"/>
      <c r="P1" s="79"/>
      <c r="Q1" s="79"/>
      <c r="R1" s="78"/>
      <c r="S1" s="78"/>
      <c r="T1" s="78"/>
    </row>
    <row r="2" spans="1:26">
      <c r="A2" s="1" t="s">
        <v>48</v>
      </c>
      <c r="B2" s="79"/>
      <c r="C2" s="80"/>
      <c r="D2" s="80"/>
      <c r="E2" s="79"/>
      <c r="F2" s="79"/>
      <c r="G2" s="79"/>
      <c r="H2" s="79"/>
      <c r="I2" s="79"/>
      <c r="J2" s="79"/>
      <c r="K2" s="80"/>
      <c r="L2" s="80"/>
      <c r="M2" s="79"/>
      <c r="N2" s="79"/>
      <c r="O2" s="79"/>
      <c r="P2" s="79"/>
      <c r="Q2" s="79"/>
      <c r="R2" s="78"/>
      <c r="S2" s="78"/>
      <c r="T2" s="78"/>
    </row>
    <row r="3" spans="1:26">
      <c r="A3" s="1" t="s">
        <v>47</v>
      </c>
      <c r="B3" s="79"/>
      <c r="C3" s="80"/>
      <c r="D3" s="80"/>
      <c r="E3" s="79"/>
      <c r="F3" s="79"/>
      <c r="G3" s="79"/>
      <c r="H3" s="79"/>
      <c r="I3" s="79"/>
      <c r="J3" s="79"/>
      <c r="K3" s="80"/>
      <c r="L3" s="80"/>
      <c r="M3" s="79"/>
      <c r="N3" s="79"/>
      <c r="O3" s="79"/>
      <c r="P3" s="79"/>
      <c r="Q3" s="79"/>
      <c r="R3" s="78"/>
      <c r="S3" s="78"/>
      <c r="T3" s="78"/>
    </row>
    <row r="4" spans="1:26">
      <c r="B4" s="79"/>
      <c r="C4" s="80"/>
      <c r="D4" s="80"/>
      <c r="E4" s="79"/>
      <c r="F4" s="79"/>
      <c r="G4" s="79"/>
      <c r="H4" s="79"/>
      <c r="I4" s="79"/>
      <c r="J4" s="79"/>
      <c r="K4" s="80"/>
      <c r="L4" s="80"/>
      <c r="M4" s="79"/>
      <c r="N4" s="79"/>
      <c r="O4" s="79"/>
      <c r="P4" s="79"/>
      <c r="Q4" s="79"/>
      <c r="R4" s="78"/>
      <c r="S4" s="78"/>
      <c r="T4" s="78"/>
    </row>
    <row r="5" spans="1:26">
      <c r="B5" s="79" t="s">
        <v>46</v>
      </c>
      <c r="C5" s="80" t="s">
        <v>45</v>
      </c>
      <c r="D5" s="80"/>
      <c r="E5" s="79"/>
      <c r="F5" s="79"/>
      <c r="G5" s="79"/>
      <c r="H5" s="79"/>
      <c r="I5" s="79"/>
      <c r="J5" s="79"/>
      <c r="K5" s="80"/>
      <c r="L5" s="80"/>
      <c r="M5" s="79"/>
      <c r="N5" s="79"/>
      <c r="O5" s="79"/>
      <c r="P5" s="79"/>
      <c r="Q5" s="79"/>
      <c r="R5" s="78"/>
      <c r="S5" s="78"/>
      <c r="T5" s="78"/>
    </row>
    <row r="6" spans="1:26">
      <c r="A6" s="1" t="s">
        <v>80</v>
      </c>
      <c r="B6" s="12">
        <v>0.03</v>
      </c>
      <c r="C6" s="7">
        <f>B6*25.4</f>
        <v>0.7619999999999999</v>
      </c>
      <c r="D6" s="80"/>
      <c r="E6" s="79"/>
      <c r="F6" s="79"/>
      <c r="G6" s="79"/>
      <c r="H6" s="79"/>
      <c r="I6" s="79"/>
      <c r="J6" s="79"/>
      <c r="K6" s="80"/>
      <c r="L6" s="80"/>
      <c r="M6" s="79"/>
      <c r="N6" s="79"/>
      <c r="O6" s="79"/>
      <c r="P6" s="79"/>
      <c r="Q6" s="79"/>
      <c r="R6" s="78"/>
      <c r="S6" s="78"/>
      <c r="T6" s="78"/>
    </row>
    <row r="7" spans="1:26">
      <c r="B7" s="12"/>
      <c r="C7" s="7"/>
      <c r="D7" s="80"/>
      <c r="E7" s="79"/>
      <c r="F7" s="79"/>
      <c r="G7" s="79"/>
      <c r="H7" s="79"/>
      <c r="I7" s="79"/>
      <c r="J7" s="79"/>
      <c r="K7" s="80"/>
      <c r="L7" s="80"/>
      <c r="M7" s="79"/>
      <c r="N7" s="79"/>
      <c r="O7" s="79"/>
      <c r="P7" s="79"/>
      <c r="Q7" s="79"/>
      <c r="R7" s="78"/>
      <c r="S7" s="78"/>
      <c r="T7" s="78"/>
    </row>
    <row r="8" spans="1:26">
      <c r="A8" s="77" t="s">
        <v>54</v>
      </c>
      <c r="B8" s="79"/>
      <c r="C8" s="80"/>
      <c r="D8" s="80"/>
      <c r="E8" s="79"/>
      <c r="F8" s="79"/>
      <c r="G8" s="79"/>
      <c r="H8" s="79"/>
      <c r="I8" s="79"/>
      <c r="J8" s="79"/>
      <c r="K8" s="80"/>
      <c r="L8" s="80"/>
      <c r="M8" s="79"/>
      <c r="N8" s="79"/>
      <c r="O8" s="79"/>
      <c r="P8" s="79"/>
      <c r="Q8" s="79"/>
      <c r="R8" s="78"/>
      <c r="S8" s="78"/>
      <c r="T8" s="78"/>
      <c r="V8" s="242" t="s">
        <v>42</v>
      </c>
      <c r="Y8" s="242"/>
    </row>
    <row r="9" spans="1:26" ht="42">
      <c r="A9" s="71" t="s">
        <v>32</v>
      </c>
      <c r="B9" s="76" t="s">
        <v>41</v>
      </c>
      <c r="C9" s="386" t="s">
        <v>40</v>
      </c>
      <c r="D9" s="387"/>
      <c r="E9" s="385" t="s">
        <v>39</v>
      </c>
      <c r="F9" s="385"/>
      <c r="G9" s="385"/>
      <c r="H9" s="385"/>
      <c r="I9" s="385"/>
      <c r="J9" s="75"/>
      <c r="K9" s="386" t="s">
        <v>38</v>
      </c>
      <c r="L9" s="387"/>
      <c r="M9" s="386" t="s">
        <v>37</v>
      </c>
      <c r="N9" s="384"/>
      <c r="O9" s="384"/>
      <c r="P9" s="384"/>
      <c r="Q9" s="74" t="s">
        <v>36</v>
      </c>
      <c r="R9" s="204" t="s">
        <v>70</v>
      </c>
      <c r="S9" s="203" t="s">
        <v>69</v>
      </c>
      <c r="T9" s="220" t="s">
        <v>33</v>
      </c>
      <c r="V9" s="19" t="s">
        <v>32</v>
      </c>
      <c r="W9" s="69" t="s">
        <v>31</v>
      </c>
      <c r="X9" s="68" t="s">
        <v>30</v>
      </c>
      <c r="Y9" s="19" t="s">
        <v>29</v>
      </c>
      <c r="Z9" s="67" t="s">
        <v>51</v>
      </c>
    </row>
    <row r="10" spans="1:26" s="10" customFormat="1">
      <c r="A10" s="16"/>
      <c r="B10" s="217"/>
      <c r="C10" s="219">
        <v>1</v>
      </c>
      <c r="D10" s="217">
        <v>2</v>
      </c>
      <c r="E10" s="219">
        <v>1</v>
      </c>
      <c r="F10" s="218">
        <v>2</v>
      </c>
      <c r="G10" s="218">
        <v>3</v>
      </c>
      <c r="H10" s="218">
        <v>4</v>
      </c>
      <c r="I10" s="218">
        <v>5</v>
      </c>
      <c r="J10" s="217">
        <v>6</v>
      </c>
      <c r="K10" s="219">
        <v>1</v>
      </c>
      <c r="L10" s="217">
        <v>2</v>
      </c>
      <c r="M10" s="219">
        <v>1</v>
      </c>
      <c r="N10" s="218">
        <v>2</v>
      </c>
      <c r="O10" s="218">
        <v>3</v>
      </c>
      <c r="P10" s="218">
        <v>4</v>
      </c>
      <c r="Q10" s="217"/>
      <c r="R10" s="216"/>
      <c r="S10" s="215"/>
      <c r="T10" s="214"/>
      <c r="V10" s="35"/>
      <c r="W10" s="59"/>
      <c r="X10" s="59"/>
      <c r="Y10" s="59"/>
      <c r="Z10" s="59"/>
    </row>
    <row r="11" spans="1:26">
      <c r="A11" s="12"/>
      <c r="B11" s="187"/>
      <c r="C11" s="122"/>
      <c r="D11" s="121"/>
      <c r="E11" s="122"/>
      <c r="F11" s="47"/>
      <c r="G11" s="47"/>
      <c r="H11" s="47"/>
      <c r="I11" s="47"/>
      <c r="J11" s="121"/>
      <c r="K11" s="122"/>
      <c r="L11" s="121"/>
      <c r="M11" s="177"/>
      <c r="N11" s="55"/>
      <c r="O11" s="55"/>
      <c r="P11" s="55"/>
      <c r="Q11" s="236"/>
      <c r="R11" s="37"/>
      <c r="S11" s="53"/>
      <c r="T11" s="35"/>
      <c r="V11" s="35"/>
      <c r="W11" s="52"/>
      <c r="X11" s="35"/>
      <c r="Y11" s="35"/>
      <c r="Z11" s="35"/>
    </row>
    <row r="12" spans="1:26">
      <c r="A12" s="12">
        <v>1</v>
      </c>
      <c r="B12" s="187"/>
      <c r="C12" s="213">
        <v>204</v>
      </c>
      <c r="D12" s="182">
        <v>204</v>
      </c>
      <c r="E12" s="241">
        <v>0.74</v>
      </c>
      <c r="F12" s="240">
        <v>0.75</v>
      </c>
      <c r="G12" s="240">
        <v>0.74</v>
      </c>
      <c r="H12" s="240">
        <v>0.75</v>
      </c>
      <c r="I12" s="240">
        <v>0.74</v>
      </c>
      <c r="J12" s="239">
        <v>0.75</v>
      </c>
      <c r="K12" s="166">
        <v>25.94</v>
      </c>
      <c r="L12" s="38">
        <v>25.99</v>
      </c>
      <c r="M12" s="238"/>
      <c r="N12" s="237"/>
      <c r="O12" s="237"/>
      <c r="P12" s="231"/>
      <c r="Q12" s="236" t="s">
        <v>21</v>
      </c>
      <c r="R12" s="37">
        <v>53.8</v>
      </c>
      <c r="S12" s="36">
        <f t="shared" ref="S12:S53" si="0">R12/(AVERAGE(C12:D12)*AVERAGE(E12:J12)*AVERAGE(K12:L12)*0.001)</f>
        <v>13.633504585862404</v>
      </c>
      <c r="T12" s="35">
        <v>3</v>
      </c>
      <c r="V12" s="35">
        <v>1</v>
      </c>
      <c r="W12" s="35">
        <f t="shared" ref="W12:W53" si="1">IF(OR(ABS(E12-$C$6)&gt;($C$6*0.1),ABS(F12-$C$6)&gt;($C$6*0.1),ABS(G12-$C$6)&gt;($C$6*0.1),ABS(H12-$C$6)&gt;($C$6*0.1),ABS(I12-$C$6)&gt;($C$6*0.1),ABS(J12-$C$6)&gt;($C$6*0.1)),1,0)</f>
        <v>0</v>
      </c>
      <c r="X12" s="35">
        <v>0</v>
      </c>
      <c r="Y12" s="34">
        <v>0</v>
      </c>
      <c r="Z12" s="35">
        <f t="shared" ref="Z12:Z53" si="2">IF(OR(M12="Y",N12="Y",O12="Y",P12="Y"),1,0)</f>
        <v>0</v>
      </c>
    </row>
    <row r="13" spans="1:26">
      <c r="A13" s="12">
        <f t="shared" ref="A13:A53" si="3">A12+1</f>
        <v>2</v>
      </c>
      <c r="B13" s="187"/>
      <c r="C13" s="213">
        <v>204</v>
      </c>
      <c r="D13" s="182">
        <v>204</v>
      </c>
      <c r="E13" s="241">
        <v>0.78</v>
      </c>
      <c r="F13" s="240">
        <v>0.78</v>
      </c>
      <c r="G13" s="240">
        <v>0.78</v>
      </c>
      <c r="H13" s="240">
        <v>0.78</v>
      </c>
      <c r="I13" s="240">
        <v>0.77</v>
      </c>
      <c r="J13" s="239">
        <v>0.77</v>
      </c>
      <c r="K13" s="166">
        <v>26.53</v>
      </c>
      <c r="L13" s="38">
        <v>25.98</v>
      </c>
      <c r="M13" s="238"/>
      <c r="N13" s="237"/>
      <c r="O13" s="237"/>
      <c r="P13" s="231"/>
      <c r="Q13" s="230"/>
      <c r="R13" s="37">
        <v>55.8</v>
      </c>
      <c r="S13" s="36">
        <f t="shared" si="0"/>
        <v>13.413970366472071</v>
      </c>
      <c r="T13" s="35">
        <v>3</v>
      </c>
      <c r="V13" s="35">
        <f t="shared" ref="V13:V53" si="4">V12+1</f>
        <v>2</v>
      </c>
      <c r="W13" s="35">
        <f t="shared" si="1"/>
        <v>0</v>
      </c>
      <c r="X13" s="35">
        <v>0</v>
      </c>
      <c r="Y13" s="34">
        <v>0</v>
      </c>
      <c r="Z13" s="35">
        <f t="shared" si="2"/>
        <v>0</v>
      </c>
    </row>
    <row r="14" spans="1:26">
      <c r="A14" s="12">
        <f t="shared" si="3"/>
        <v>3</v>
      </c>
      <c r="B14" s="187"/>
      <c r="C14" s="213">
        <v>204</v>
      </c>
      <c r="D14" s="182">
        <v>204</v>
      </c>
      <c r="E14" s="177">
        <v>0.78</v>
      </c>
      <c r="F14" s="55">
        <v>0.77</v>
      </c>
      <c r="G14" s="55">
        <v>0.78</v>
      </c>
      <c r="H14" s="55">
        <v>0.77</v>
      </c>
      <c r="I14" s="55">
        <v>0.78</v>
      </c>
      <c r="J14" s="187">
        <v>0.77</v>
      </c>
      <c r="K14" s="166">
        <v>25.93</v>
      </c>
      <c r="L14" s="38">
        <v>26.09</v>
      </c>
      <c r="M14" s="238"/>
      <c r="N14" s="237"/>
      <c r="O14" s="237"/>
      <c r="P14" s="231"/>
      <c r="Q14" s="230"/>
      <c r="R14" s="37">
        <v>55.8</v>
      </c>
      <c r="S14" s="36">
        <f t="shared" si="0"/>
        <v>13.569441617477441</v>
      </c>
      <c r="T14" s="35">
        <v>3</v>
      </c>
      <c r="V14" s="35">
        <f t="shared" si="4"/>
        <v>3</v>
      </c>
      <c r="W14" s="35">
        <f t="shared" si="1"/>
        <v>0</v>
      </c>
      <c r="X14" s="35">
        <v>0</v>
      </c>
      <c r="Y14" s="34">
        <v>0</v>
      </c>
      <c r="Z14" s="35">
        <f t="shared" si="2"/>
        <v>0</v>
      </c>
    </row>
    <row r="15" spans="1:26">
      <c r="A15" s="12">
        <f t="shared" si="3"/>
        <v>4</v>
      </c>
      <c r="B15" s="187"/>
      <c r="C15" s="213">
        <v>204</v>
      </c>
      <c r="D15" s="182">
        <v>204</v>
      </c>
      <c r="E15" s="177">
        <v>0.76</v>
      </c>
      <c r="F15" s="55">
        <v>0.74</v>
      </c>
      <c r="G15" s="55">
        <v>0.76</v>
      </c>
      <c r="H15" s="55">
        <v>0.74</v>
      </c>
      <c r="I15" s="55">
        <v>0.76</v>
      </c>
      <c r="J15" s="187">
        <v>0.74</v>
      </c>
      <c r="K15" s="166">
        <v>26.09</v>
      </c>
      <c r="L15" s="38">
        <v>25.95</v>
      </c>
      <c r="M15" s="238"/>
      <c r="N15" s="237"/>
      <c r="O15" s="237"/>
      <c r="P15" s="231"/>
      <c r="Q15" s="230"/>
      <c r="R15" s="37">
        <v>54.3</v>
      </c>
      <c r="S15" s="36">
        <f t="shared" si="0"/>
        <v>13.639583427529351</v>
      </c>
      <c r="T15" s="35">
        <v>3</v>
      </c>
      <c r="V15" s="35">
        <f t="shared" si="4"/>
        <v>4</v>
      </c>
      <c r="W15" s="35">
        <f t="shared" si="1"/>
        <v>0</v>
      </c>
      <c r="X15" s="35">
        <v>0</v>
      </c>
      <c r="Y15" s="34">
        <v>0</v>
      </c>
      <c r="Z15" s="35">
        <f t="shared" si="2"/>
        <v>0</v>
      </c>
    </row>
    <row r="16" spans="1:26">
      <c r="A16" s="12">
        <f t="shared" si="3"/>
        <v>5</v>
      </c>
      <c r="B16" s="187"/>
      <c r="C16" s="213">
        <v>204</v>
      </c>
      <c r="D16" s="182">
        <v>204</v>
      </c>
      <c r="E16" s="177">
        <v>0.75</v>
      </c>
      <c r="F16" s="55">
        <v>0.77</v>
      </c>
      <c r="G16" s="55">
        <v>0.76</v>
      </c>
      <c r="H16" s="55">
        <v>0.77</v>
      </c>
      <c r="I16" s="55">
        <v>0.75</v>
      </c>
      <c r="J16" s="187">
        <v>0.76</v>
      </c>
      <c r="K16" s="166">
        <v>26.13</v>
      </c>
      <c r="L16" s="38">
        <v>26.02</v>
      </c>
      <c r="M16" s="238"/>
      <c r="N16" s="237"/>
      <c r="O16" s="237"/>
      <c r="P16" s="231"/>
      <c r="Q16" s="230"/>
      <c r="R16" s="37">
        <v>55.1</v>
      </c>
      <c r="S16" s="36">
        <f t="shared" si="0"/>
        <v>13.629612918993098</v>
      </c>
      <c r="T16" s="35">
        <v>3</v>
      </c>
      <c r="V16" s="35">
        <f t="shared" si="4"/>
        <v>5</v>
      </c>
      <c r="W16" s="35">
        <f t="shared" si="1"/>
        <v>0</v>
      </c>
      <c r="X16" s="35">
        <v>0</v>
      </c>
      <c r="Y16" s="34">
        <v>0</v>
      </c>
      <c r="Z16" s="35">
        <f t="shared" si="2"/>
        <v>0</v>
      </c>
    </row>
    <row r="17" spans="1:26">
      <c r="A17" s="12">
        <f t="shared" si="3"/>
        <v>6</v>
      </c>
      <c r="B17" s="187" t="s">
        <v>79</v>
      </c>
      <c r="C17" s="213">
        <v>204</v>
      </c>
      <c r="D17" s="182">
        <v>204</v>
      </c>
      <c r="E17" s="177">
        <v>0.76</v>
      </c>
      <c r="F17" s="55">
        <v>0.77</v>
      </c>
      <c r="G17" s="55">
        <v>0.76</v>
      </c>
      <c r="H17" s="55">
        <v>0.77</v>
      </c>
      <c r="I17" s="55">
        <v>0.76</v>
      </c>
      <c r="J17" s="187">
        <v>0.77</v>
      </c>
      <c r="K17" s="166">
        <v>26.07</v>
      </c>
      <c r="L17" s="38">
        <v>26.04</v>
      </c>
      <c r="M17" s="238"/>
      <c r="N17" s="237"/>
      <c r="O17" s="237"/>
      <c r="P17" s="231"/>
      <c r="Q17" s="230"/>
      <c r="R17" s="37">
        <v>55</v>
      </c>
      <c r="S17" s="36">
        <f t="shared" si="0"/>
        <v>13.526330958380143</v>
      </c>
      <c r="T17" s="35">
        <v>3</v>
      </c>
      <c r="V17" s="35">
        <f t="shared" si="4"/>
        <v>6</v>
      </c>
      <c r="W17" s="35">
        <f t="shared" si="1"/>
        <v>0</v>
      </c>
      <c r="X17" s="35">
        <v>0</v>
      </c>
      <c r="Y17" s="34">
        <v>0</v>
      </c>
      <c r="Z17" s="35">
        <f t="shared" si="2"/>
        <v>0</v>
      </c>
    </row>
    <row r="18" spans="1:26">
      <c r="A18" s="12">
        <f t="shared" si="3"/>
        <v>7</v>
      </c>
      <c r="B18" s="187"/>
      <c r="C18" s="213">
        <v>204</v>
      </c>
      <c r="D18" s="182">
        <v>204</v>
      </c>
      <c r="E18" s="177">
        <v>0.78</v>
      </c>
      <c r="F18" s="55">
        <v>0.77</v>
      </c>
      <c r="G18" s="55">
        <v>0.79</v>
      </c>
      <c r="H18" s="55">
        <v>0.77</v>
      </c>
      <c r="I18" s="55">
        <v>0.78</v>
      </c>
      <c r="J18" s="187">
        <v>0.77</v>
      </c>
      <c r="K18" s="166">
        <v>25.98</v>
      </c>
      <c r="L18" s="38">
        <v>25.8</v>
      </c>
      <c r="M18" s="238"/>
      <c r="N18" s="237"/>
      <c r="O18" s="237"/>
      <c r="P18" s="231"/>
      <c r="Q18" s="230"/>
      <c r="R18" s="37">
        <v>55.7</v>
      </c>
      <c r="S18" s="36">
        <f t="shared" si="0"/>
        <v>13.578703677971069</v>
      </c>
      <c r="T18" s="35">
        <v>3</v>
      </c>
      <c r="V18" s="35">
        <f t="shared" si="4"/>
        <v>7</v>
      </c>
      <c r="W18" s="35">
        <f t="shared" si="1"/>
        <v>0</v>
      </c>
      <c r="X18" s="35">
        <v>0</v>
      </c>
      <c r="Y18" s="34">
        <v>0</v>
      </c>
      <c r="Z18" s="35">
        <f t="shared" si="2"/>
        <v>0</v>
      </c>
    </row>
    <row r="19" spans="1:26">
      <c r="A19" s="12">
        <f t="shared" si="3"/>
        <v>8</v>
      </c>
      <c r="B19" s="54"/>
      <c r="C19" s="213">
        <v>204</v>
      </c>
      <c r="D19" s="182">
        <v>204</v>
      </c>
      <c r="E19" s="177">
        <v>0.74</v>
      </c>
      <c r="F19" s="55">
        <v>0.76</v>
      </c>
      <c r="G19" s="55">
        <v>0.74</v>
      </c>
      <c r="H19" s="55">
        <v>0.76</v>
      </c>
      <c r="I19" s="55">
        <v>0.75</v>
      </c>
      <c r="J19" s="234">
        <v>0.77</v>
      </c>
      <c r="K19" s="166">
        <v>26.01</v>
      </c>
      <c r="L19" s="38">
        <v>26.04</v>
      </c>
      <c r="M19" s="238"/>
      <c r="N19" s="237"/>
      <c r="O19" s="237"/>
      <c r="P19" s="231"/>
      <c r="Q19" s="230"/>
      <c r="R19" s="37">
        <v>54.4</v>
      </c>
      <c r="S19" s="36">
        <f t="shared" si="0"/>
        <v>13.601625394234611</v>
      </c>
      <c r="T19" s="35">
        <v>3</v>
      </c>
      <c r="V19" s="35">
        <f t="shared" si="4"/>
        <v>8</v>
      </c>
      <c r="W19" s="35">
        <f t="shared" si="1"/>
        <v>0</v>
      </c>
      <c r="X19" s="35">
        <v>0</v>
      </c>
      <c r="Y19" s="34">
        <v>0</v>
      </c>
      <c r="Z19" s="35">
        <f t="shared" si="2"/>
        <v>0</v>
      </c>
    </row>
    <row r="20" spans="1:26">
      <c r="A20" s="12">
        <f t="shared" si="3"/>
        <v>9</v>
      </c>
      <c r="B20" s="54"/>
      <c r="C20" s="213">
        <v>204</v>
      </c>
      <c r="D20" s="182">
        <v>204</v>
      </c>
      <c r="E20" s="235">
        <v>0.75</v>
      </c>
      <c r="F20" s="55">
        <v>0.76</v>
      </c>
      <c r="G20" s="55">
        <v>0.75</v>
      </c>
      <c r="H20" s="55">
        <v>0.78</v>
      </c>
      <c r="I20" s="55">
        <v>0.76</v>
      </c>
      <c r="J20" s="234">
        <v>0.77</v>
      </c>
      <c r="K20" s="166">
        <v>25.95</v>
      </c>
      <c r="L20" s="38">
        <v>25.6</v>
      </c>
      <c r="M20" s="233"/>
      <c r="N20" s="232"/>
      <c r="O20" s="232"/>
      <c r="P20" s="231"/>
      <c r="Q20" s="230"/>
      <c r="R20" s="37">
        <v>54.4</v>
      </c>
      <c r="S20" s="36">
        <f t="shared" si="0"/>
        <v>13.583294245989215</v>
      </c>
      <c r="T20" s="35">
        <v>3</v>
      </c>
      <c r="V20" s="35">
        <f t="shared" si="4"/>
        <v>9</v>
      </c>
      <c r="W20" s="35">
        <f t="shared" si="1"/>
        <v>0</v>
      </c>
      <c r="X20" s="35">
        <v>0</v>
      </c>
      <c r="Y20" s="34">
        <v>0</v>
      </c>
      <c r="Z20" s="35">
        <f t="shared" si="2"/>
        <v>0</v>
      </c>
    </row>
    <row r="21" spans="1:26">
      <c r="A21" s="12">
        <f t="shared" si="3"/>
        <v>10</v>
      </c>
      <c r="B21" s="54"/>
      <c r="C21" s="213">
        <v>204</v>
      </c>
      <c r="D21" s="182">
        <v>204</v>
      </c>
      <c r="E21" s="235">
        <v>0.77</v>
      </c>
      <c r="F21" s="55">
        <v>0.75</v>
      </c>
      <c r="G21" s="55">
        <v>0.77</v>
      </c>
      <c r="H21" s="55">
        <v>0.76</v>
      </c>
      <c r="I21" s="55">
        <v>0.77</v>
      </c>
      <c r="J21" s="234">
        <v>0.76</v>
      </c>
      <c r="K21" s="166">
        <v>25.78</v>
      </c>
      <c r="L21" s="38">
        <v>25.94</v>
      </c>
      <c r="M21" s="233"/>
      <c r="N21" s="232"/>
      <c r="O21" s="232"/>
      <c r="P21" s="231"/>
      <c r="Q21" s="230"/>
      <c r="R21" s="37">
        <v>54.9</v>
      </c>
      <c r="S21" s="36">
        <f t="shared" si="0"/>
        <v>13.633250947771685</v>
      </c>
      <c r="T21" s="35">
        <v>3</v>
      </c>
      <c r="V21" s="35">
        <f t="shared" si="4"/>
        <v>10</v>
      </c>
      <c r="W21" s="35">
        <f t="shared" si="1"/>
        <v>0</v>
      </c>
      <c r="X21" s="35">
        <v>0</v>
      </c>
      <c r="Y21" s="34">
        <v>0</v>
      </c>
      <c r="Z21" s="35">
        <f t="shared" si="2"/>
        <v>0</v>
      </c>
    </row>
    <row r="22" spans="1:26">
      <c r="A22" s="12">
        <f t="shared" si="3"/>
        <v>11</v>
      </c>
      <c r="B22" s="54"/>
      <c r="C22" s="213">
        <v>204</v>
      </c>
      <c r="D22" s="182">
        <v>204</v>
      </c>
      <c r="E22" s="235">
        <v>0.75</v>
      </c>
      <c r="F22" s="55">
        <v>0.74</v>
      </c>
      <c r="G22" s="55">
        <v>0.75</v>
      </c>
      <c r="H22" s="55">
        <v>0.75</v>
      </c>
      <c r="I22" s="55">
        <v>0.76</v>
      </c>
      <c r="J22" s="234">
        <v>0.75</v>
      </c>
      <c r="K22" s="166">
        <v>25.9</v>
      </c>
      <c r="L22" s="38">
        <v>26.01</v>
      </c>
      <c r="M22" s="233"/>
      <c r="N22" s="232"/>
      <c r="O22" s="232"/>
      <c r="P22" s="231"/>
      <c r="Q22" s="230"/>
      <c r="R22" s="37">
        <v>54.9</v>
      </c>
      <c r="S22" s="36">
        <f t="shared" si="0"/>
        <v>13.824832572212086</v>
      </c>
      <c r="T22" s="35">
        <v>3</v>
      </c>
      <c r="V22" s="35">
        <f t="shared" si="4"/>
        <v>11</v>
      </c>
      <c r="W22" s="35">
        <f t="shared" si="1"/>
        <v>0</v>
      </c>
      <c r="X22" s="35">
        <v>0</v>
      </c>
      <c r="Y22" s="34">
        <v>0</v>
      </c>
      <c r="Z22" s="35">
        <f t="shared" si="2"/>
        <v>0</v>
      </c>
    </row>
    <row r="23" spans="1:26">
      <c r="A23" s="12">
        <f t="shared" si="3"/>
        <v>12</v>
      </c>
      <c r="B23" s="54"/>
      <c r="C23" s="213">
        <v>204</v>
      </c>
      <c r="D23" s="182">
        <v>204</v>
      </c>
      <c r="E23" s="235">
        <v>0.75</v>
      </c>
      <c r="F23" s="55">
        <v>0.73</v>
      </c>
      <c r="G23" s="55">
        <v>0.76</v>
      </c>
      <c r="H23" s="55">
        <v>0.73</v>
      </c>
      <c r="I23" s="55">
        <v>0.76</v>
      </c>
      <c r="J23" s="234">
        <v>0.74</v>
      </c>
      <c r="K23" s="166">
        <v>26.06</v>
      </c>
      <c r="L23" s="38">
        <v>25.83</v>
      </c>
      <c r="M23" s="233" t="s">
        <v>20</v>
      </c>
      <c r="N23" s="232"/>
      <c r="O23" s="232"/>
      <c r="P23" s="231"/>
      <c r="Q23" s="230"/>
      <c r="R23" s="37">
        <v>53.5</v>
      </c>
      <c r="S23" s="36">
        <f t="shared" si="0"/>
        <v>13.567932265635969</v>
      </c>
      <c r="T23" s="35">
        <v>3</v>
      </c>
      <c r="V23" s="35">
        <f t="shared" si="4"/>
        <v>12</v>
      </c>
      <c r="W23" s="35">
        <f t="shared" si="1"/>
        <v>0</v>
      </c>
      <c r="X23" s="35">
        <v>0</v>
      </c>
      <c r="Y23" s="34">
        <v>0</v>
      </c>
      <c r="Z23" s="35">
        <f t="shared" si="2"/>
        <v>0</v>
      </c>
    </row>
    <row r="24" spans="1:26">
      <c r="A24" s="12">
        <f t="shared" si="3"/>
        <v>13</v>
      </c>
      <c r="B24" s="54"/>
      <c r="C24" s="213">
        <v>204</v>
      </c>
      <c r="D24" s="182">
        <v>204</v>
      </c>
      <c r="E24" s="235">
        <v>0.77</v>
      </c>
      <c r="F24" s="55">
        <v>0.77</v>
      </c>
      <c r="G24" s="55">
        <v>0.78</v>
      </c>
      <c r="H24" s="55">
        <v>0.76</v>
      </c>
      <c r="I24" s="55">
        <v>0.77</v>
      </c>
      <c r="J24" s="234">
        <v>0.75</v>
      </c>
      <c r="K24" s="166">
        <v>26.11</v>
      </c>
      <c r="L24" s="38">
        <v>25.97</v>
      </c>
      <c r="M24" s="233"/>
      <c r="N24" s="232"/>
      <c r="O24" s="232"/>
      <c r="P24" s="231"/>
      <c r="Q24" s="230"/>
      <c r="R24" s="37">
        <v>55.6</v>
      </c>
      <c r="S24" s="36">
        <f t="shared" si="0"/>
        <v>13.652024624716649</v>
      </c>
      <c r="T24" s="35">
        <v>3</v>
      </c>
      <c r="V24" s="35">
        <f t="shared" si="4"/>
        <v>13</v>
      </c>
      <c r="W24" s="35">
        <f t="shared" si="1"/>
        <v>0</v>
      </c>
      <c r="X24" s="35">
        <v>0</v>
      </c>
      <c r="Y24" s="34">
        <v>0</v>
      </c>
      <c r="Z24" s="35">
        <f t="shared" si="2"/>
        <v>0</v>
      </c>
    </row>
    <row r="25" spans="1:26">
      <c r="A25" s="12">
        <f t="shared" si="3"/>
        <v>14</v>
      </c>
      <c r="B25" s="54"/>
      <c r="C25" s="213">
        <v>204</v>
      </c>
      <c r="D25" s="182">
        <v>204</v>
      </c>
      <c r="E25" s="235">
        <v>0.77</v>
      </c>
      <c r="F25" s="55">
        <v>0.76</v>
      </c>
      <c r="G25" s="55">
        <v>0.77</v>
      </c>
      <c r="H25" s="55">
        <v>0.76</v>
      </c>
      <c r="I25" s="55">
        <v>0.77</v>
      </c>
      <c r="J25" s="234">
        <v>0.76</v>
      </c>
      <c r="K25" s="166">
        <v>25.49</v>
      </c>
      <c r="L25" s="38">
        <v>25.94</v>
      </c>
      <c r="M25" s="233"/>
      <c r="N25" s="232"/>
      <c r="O25" s="232"/>
      <c r="P25" s="231"/>
      <c r="Q25" s="230"/>
      <c r="R25" s="37">
        <v>54.5</v>
      </c>
      <c r="S25" s="36">
        <f t="shared" si="0"/>
        <v>13.580581652076015</v>
      </c>
      <c r="T25" s="35">
        <v>3</v>
      </c>
      <c r="V25" s="35">
        <f t="shared" si="4"/>
        <v>14</v>
      </c>
      <c r="W25" s="35">
        <f t="shared" si="1"/>
        <v>0</v>
      </c>
      <c r="X25" s="35">
        <v>0</v>
      </c>
      <c r="Y25" s="34">
        <v>0</v>
      </c>
      <c r="Z25" s="35">
        <f t="shared" si="2"/>
        <v>0</v>
      </c>
    </row>
    <row r="26" spans="1:26">
      <c r="A26" s="12">
        <f t="shared" si="3"/>
        <v>15</v>
      </c>
      <c r="B26" s="54"/>
      <c r="C26" s="213">
        <v>204</v>
      </c>
      <c r="D26" s="182">
        <v>204</v>
      </c>
      <c r="E26" s="235">
        <v>0.77</v>
      </c>
      <c r="F26" s="55">
        <v>0.78</v>
      </c>
      <c r="G26" s="55">
        <v>0.76</v>
      </c>
      <c r="H26" s="55">
        <v>0.77</v>
      </c>
      <c r="I26" s="55">
        <v>0.77</v>
      </c>
      <c r="J26" s="234">
        <v>0.78</v>
      </c>
      <c r="K26" s="166">
        <v>26.03</v>
      </c>
      <c r="L26" s="38">
        <v>26.02</v>
      </c>
      <c r="M26" s="233"/>
      <c r="N26" s="232"/>
      <c r="O26" s="232"/>
      <c r="P26" s="231"/>
      <c r="Q26" s="230"/>
      <c r="R26" s="37">
        <v>55.4</v>
      </c>
      <c r="S26" s="36">
        <f t="shared" si="0"/>
        <v>13.522566270643425</v>
      </c>
      <c r="T26" s="35">
        <v>3</v>
      </c>
      <c r="V26" s="35">
        <f t="shared" si="4"/>
        <v>15</v>
      </c>
      <c r="W26" s="35">
        <f t="shared" si="1"/>
        <v>0</v>
      </c>
      <c r="X26" s="35">
        <v>0</v>
      </c>
      <c r="Y26" s="34">
        <v>0</v>
      </c>
      <c r="Z26" s="35">
        <f t="shared" si="2"/>
        <v>0</v>
      </c>
    </row>
    <row r="27" spans="1:26">
      <c r="A27" s="12">
        <f t="shared" si="3"/>
        <v>16</v>
      </c>
      <c r="B27" s="54"/>
      <c r="C27" s="213">
        <v>204</v>
      </c>
      <c r="D27" s="182">
        <v>204</v>
      </c>
      <c r="E27" s="235">
        <v>0.77</v>
      </c>
      <c r="F27" s="55">
        <v>0.76</v>
      </c>
      <c r="G27" s="55">
        <v>0.76</v>
      </c>
      <c r="H27" s="55">
        <v>0.76</v>
      </c>
      <c r="I27" s="55">
        <v>0.77</v>
      </c>
      <c r="J27" s="234">
        <v>0.76</v>
      </c>
      <c r="K27" s="166">
        <v>26.04</v>
      </c>
      <c r="L27" s="38">
        <v>25.92</v>
      </c>
      <c r="M27" s="233"/>
      <c r="N27" s="232"/>
      <c r="O27" s="232"/>
      <c r="P27" s="231"/>
      <c r="Q27" s="230"/>
      <c r="R27" s="37">
        <v>54.9</v>
      </c>
      <c r="S27" s="36">
        <f t="shared" si="0"/>
        <v>13.570279811754265</v>
      </c>
      <c r="T27" s="35">
        <v>3</v>
      </c>
      <c r="V27" s="35">
        <f t="shared" si="4"/>
        <v>16</v>
      </c>
      <c r="W27" s="35">
        <f t="shared" si="1"/>
        <v>0</v>
      </c>
      <c r="X27" s="35">
        <v>0</v>
      </c>
      <c r="Y27" s="34">
        <v>0</v>
      </c>
      <c r="Z27" s="35">
        <f t="shared" si="2"/>
        <v>0</v>
      </c>
    </row>
    <row r="28" spans="1:26">
      <c r="A28" s="12">
        <f t="shared" si="3"/>
        <v>17</v>
      </c>
      <c r="B28" s="54"/>
      <c r="C28" s="213">
        <v>204</v>
      </c>
      <c r="D28" s="182">
        <v>204</v>
      </c>
      <c r="E28" s="235">
        <v>0.78</v>
      </c>
      <c r="F28" s="55">
        <v>0.77</v>
      </c>
      <c r="G28" s="55">
        <v>0.78</v>
      </c>
      <c r="H28" s="55">
        <v>0.77</v>
      </c>
      <c r="I28" s="55">
        <v>0.78</v>
      </c>
      <c r="J28" s="234">
        <v>0.77</v>
      </c>
      <c r="K28" s="166">
        <v>25.81</v>
      </c>
      <c r="L28" s="38">
        <v>25.95</v>
      </c>
      <c r="M28" s="233"/>
      <c r="N28" s="232"/>
      <c r="O28" s="232"/>
      <c r="P28" s="231"/>
      <c r="Q28" s="230"/>
      <c r="R28" s="37">
        <v>55.9</v>
      </c>
      <c r="S28" s="36">
        <f t="shared" si="0"/>
        <v>13.662043567988096</v>
      </c>
      <c r="T28" s="35">
        <v>3</v>
      </c>
      <c r="V28" s="35">
        <f t="shared" si="4"/>
        <v>17</v>
      </c>
      <c r="W28" s="35">
        <f t="shared" si="1"/>
        <v>0</v>
      </c>
      <c r="X28" s="35">
        <v>0</v>
      </c>
      <c r="Y28" s="34">
        <v>0</v>
      </c>
      <c r="Z28" s="35">
        <f t="shared" si="2"/>
        <v>0</v>
      </c>
    </row>
    <row r="29" spans="1:26">
      <c r="A29" s="12">
        <f t="shared" si="3"/>
        <v>18</v>
      </c>
      <c r="B29" s="54"/>
      <c r="C29" s="213">
        <v>204</v>
      </c>
      <c r="D29" s="182">
        <v>204</v>
      </c>
      <c r="E29" s="235">
        <v>0.79</v>
      </c>
      <c r="F29" s="55">
        <v>0.78</v>
      </c>
      <c r="G29" s="55">
        <v>0.78</v>
      </c>
      <c r="H29" s="55">
        <v>0.78</v>
      </c>
      <c r="I29" s="55">
        <v>0.78</v>
      </c>
      <c r="J29" s="234">
        <v>0.78</v>
      </c>
      <c r="K29" s="166">
        <v>26.12</v>
      </c>
      <c r="L29" s="38">
        <v>26.13</v>
      </c>
      <c r="M29" s="233"/>
      <c r="N29" s="232"/>
      <c r="O29" s="232"/>
      <c r="P29" s="231"/>
      <c r="Q29" s="230"/>
      <c r="R29" s="37">
        <v>56.5</v>
      </c>
      <c r="S29" s="36">
        <f t="shared" si="0"/>
        <v>13.562519916200429</v>
      </c>
      <c r="T29" s="35">
        <v>3</v>
      </c>
      <c r="V29" s="35">
        <f t="shared" si="4"/>
        <v>18</v>
      </c>
      <c r="W29" s="35">
        <f t="shared" si="1"/>
        <v>0</v>
      </c>
      <c r="X29" s="35">
        <v>0</v>
      </c>
      <c r="Y29" s="34">
        <v>0</v>
      </c>
      <c r="Z29" s="35">
        <f t="shared" si="2"/>
        <v>0</v>
      </c>
    </row>
    <row r="30" spans="1:26">
      <c r="A30" s="12">
        <f t="shared" si="3"/>
        <v>19</v>
      </c>
      <c r="B30" s="54"/>
      <c r="C30" s="213">
        <v>204</v>
      </c>
      <c r="D30" s="182">
        <v>204</v>
      </c>
      <c r="E30" s="235">
        <v>0.76</v>
      </c>
      <c r="F30" s="55">
        <v>0.74</v>
      </c>
      <c r="G30" s="55">
        <v>0.76</v>
      </c>
      <c r="H30" s="55">
        <v>0.74</v>
      </c>
      <c r="I30" s="55">
        <v>0.76</v>
      </c>
      <c r="J30" s="234">
        <v>0.75</v>
      </c>
      <c r="K30" s="166">
        <v>25.93</v>
      </c>
      <c r="L30" s="38">
        <v>25.79</v>
      </c>
      <c r="M30" s="233"/>
      <c r="N30" s="232"/>
      <c r="O30" s="232"/>
      <c r="P30" s="231"/>
      <c r="Q30" s="230"/>
      <c r="R30" s="37">
        <v>54.1</v>
      </c>
      <c r="S30" s="36">
        <f t="shared" si="0"/>
        <v>13.643107013101723</v>
      </c>
      <c r="T30" s="35">
        <v>3</v>
      </c>
      <c r="V30" s="35">
        <f t="shared" si="4"/>
        <v>19</v>
      </c>
      <c r="W30" s="35">
        <f t="shared" si="1"/>
        <v>0</v>
      </c>
      <c r="X30" s="35">
        <v>0</v>
      </c>
      <c r="Y30" s="34">
        <v>0</v>
      </c>
      <c r="Z30" s="35">
        <f t="shared" si="2"/>
        <v>0</v>
      </c>
    </row>
    <row r="31" spans="1:26">
      <c r="A31" s="12">
        <f t="shared" si="3"/>
        <v>20</v>
      </c>
      <c r="B31" s="54" t="s">
        <v>78</v>
      </c>
      <c r="C31" s="213">
        <v>204</v>
      </c>
      <c r="D31" s="182">
        <v>204</v>
      </c>
      <c r="E31" s="235">
        <v>0.78</v>
      </c>
      <c r="F31" s="55">
        <v>0.78</v>
      </c>
      <c r="G31" s="55">
        <v>0.78</v>
      </c>
      <c r="H31" s="55">
        <v>0.78</v>
      </c>
      <c r="I31" s="55">
        <v>0.77</v>
      </c>
      <c r="J31" s="234">
        <v>0.78</v>
      </c>
      <c r="K31" s="166">
        <v>26.02</v>
      </c>
      <c r="L31" s="38">
        <v>26.09</v>
      </c>
      <c r="M31" s="233"/>
      <c r="N31" s="232"/>
      <c r="O31" s="232"/>
      <c r="P31" s="231"/>
      <c r="Q31" s="230"/>
      <c r="R31" s="37">
        <v>56.2</v>
      </c>
      <c r="S31" s="36">
        <f t="shared" si="0"/>
        <v>13.584680869619721</v>
      </c>
      <c r="T31" s="35">
        <v>3</v>
      </c>
      <c r="V31" s="35">
        <f t="shared" si="4"/>
        <v>20</v>
      </c>
      <c r="W31" s="35">
        <f t="shared" si="1"/>
        <v>0</v>
      </c>
      <c r="X31" s="35">
        <v>0</v>
      </c>
      <c r="Y31" s="34">
        <v>0</v>
      </c>
      <c r="Z31" s="35">
        <f t="shared" si="2"/>
        <v>0</v>
      </c>
    </row>
    <row r="32" spans="1:26">
      <c r="A32" s="12">
        <f t="shared" si="3"/>
        <v>21</v>
      </c>
      <c r="B32" s="54"/>
      <c r="C32" s="213">
        <v>204</v>
      </c>
      <c r="D32" s="182">
        <v>204</v>
      </c>
      <c r="E32" s="235">
        <v>0.75</v>
      </c>
      <c r="F32" s="55">
        <v>0.74</v>
      </c>
      <c r="G32" s="55">
        <v>0.77</v>
      </c>
      <c r="H32" s="55">
        <v>0.76</v>
      </c>
      <c r="I32" s="55">
        <v>0.77</v>
      </c>
      <c r="J32" s="234">
        <v>0.76</v>
      </c>
      <c r="K32" s="166">
        <v>25.95</v>
      </c>
      <c r="L32" s="38">
        <v>25.55</v>
      </c>
      <c r="M32" s="233"/>
      <c r="N32" s="232"/>
      <c r="O32" s="232"/>
      <c r="P32" s="231"/>
      <c r="Q32" s="230"/>
      <c r="R32" s="37">
        <v>54.5</v>
      </c>
      <c r="S32" s="36">
        <f t="shared" si="0"/>
        <v>13.68135006056194</v>
      </c>
      <c r="T32" s="35">
        <v>3</v>
      </c>
      <c r="V32" s="35">
        <f t="shared" si="4"/>
        <v>21</v>
      </c>
      <c r="W32" s="35">
        <f t="shared" si="1"/>
        <v>0</v>
      </c>
      <c r="X32" s="35">
        <v>0</v>
      </c>
      <c r="Y32" s="34">
        <v>0</v>
      </c>
      <c r="Z32" s="35">
        <f t="shared" si="2"/>
        <v>0</v>
      </c>
    </row>
    <row r="33" spans="1:26">
      <c r="A33" s="12">
        <f t="shared" si="3"/>
        <v>22</v>
      </c>
      <c r="B33" s="54"/>
      <c r="C33" s="213">
        <v>204</v>
      </c>
      <c r="D33" s="182">
        <v>204</v>
      </c>
      <c r="E33" s="235">
        <v>0.77</v>
      </c>
      <c r="F33" s="55">
        <v>0.78</v>
      </c>
      <c r="G33" s="55">
        <v>0.78</v>
      </c>
      <c r="H33" s="55">
        <v>0.78</v>
      </c>
      <c r="I33" s="55">
        <v>0.79</v>
      </c>
      <c r="J33" s="234">
        <v>0.78</v>
      </c>
      <c r="K33" s="166">
        <v>25.97</v>
      </c>
      <c r="L33" s="38">
        <v>25.9</v>
      </c>
      <c r="M33" s="233"/>
      <c r="N33" s="232"/>
      <c r="O33" s="232"/>
      <c r="P33" s="231"/>
      <c r="Q33" s="230"/>
      <c r="R33" s="37">
        <v>55.9</v>
      </c>
      <c r="S33" s="36">
        <f t="shared" si="0"/>
        <v>13.545679180354101</v>
      </c>
      <c r="T33" s="35">
        <v>3</v>
      </c>
      <c r="V33" s="35">
        <f t="shared" si="4"/>
        <v>22</v>
      </c>
      <c r="W33" s="35">
        <f t="shared" si="1"/>
        <v>0</v>
      </c>
      <c r="X33" s="35">
        <v>0</v>
      </c>
      <c r="Y33" s="34">
        <v>0</v>
      </c>
      <c r="Z33" s="35">
        <f t="shared" si="2"/>
        <v>0</v>
      </c>
    </row>
    <row r="34" spans="1:26">
      <c r="A34" s="12">
        <f t="shared" si="3"/>
        <v>23</v>
      </c>
      <c r="B34" s="54"/>
      <c r="C34" s="213">
        <v>204</v>
      </c>
      <c r="D34" s="182">
        <v>204</v>
      </c>
      <c r="E34" s="235">
        <v>0.78</v>
      </c>
      <c r="F34" s="55">
        <v>0.78</v>
      </c>
      <c r="G34" s="55">
        <v>0.78</v>
      </c>
      <c r="H34" s="55">
        <v>0.78</v>
      </c>
      <c r="I34" s="55">
        <v>0.78</v>
      </c>
      <c r="J34" s="234">
        <v>0.78</v>
      </c>
      <c r="K34" s="166">
        <v>26.02</v>
      </c>
      <c r="L34" s="38">
        <v>25.98</v>
      </c>
      <c r="M34" s="233"/>
      <c r="N34" s="232"/>
      <c r="O34" s="232"/>
      <c r="P34" s="231"/>
      <c r="Q34" s="230"/>
      <c r="R34" s="37">
        <v>55.8</v>
      </c>
      <c r="S34" s="36">
        <f t="shared" si="0"/>
        <v>13.487643578141311</v>
      </c>
      <c r="T34" s="35">
        <v>3</v>
      </c>
      <c r="V34" s="35">
        <f t="shared" si="4"/>
        <v>23</v>
      </c>
      <c r="W34" s="35">
        <f t="shared" si="1"/>
        <v>0</v>
      </c>
      <c r="X34" s="35">
        <v>0</v>
      </c>
      <c r="Y34" s="34">
        <v>0</v>
      </c>
      <c r="Z34" s="35">
        <f t="shared" si="2"/>
        <v>0</v>
      </c>
    </row>
    <row r="35" spans="1:26">
      <c r="A35" s="12">
        <f t="shared" si="3"/>
        <v>24</v>
      </c>
      <c r="B35" s="54"/>
      <c r="C35" s="213">
        <v>204</v>
      </c>
      <c r="D35" s="182">
        <v>204</v>
      </c>
      <c r="E35" s="235">
        <v>0.77</v>
      </c>
      <c r="F35" s="55">
        <v>0.77</v>
      </c>
      <c r="G35" s="55">
        <v>0.78</v>
      </c>
      <c r="H35" s="55">
        <v>0.78</v>
      </c>
      <c r="I35" s="55">
        <v>0.76</v>
      </c>
      <c r="J35" s="234">
        <v>0.77</v>
      </c>
      <c r="K35" s="166">
        <v>26.02</v>
      </c>
      <c r="L35" s="38">
        <v>26</v>
      </c>
      <c r="M35" s="233"/>
      <c r="N35" s="232"/>
      <c r="O35" s="232"/>
      <c r="P35" s="231"/>
      <c r="Q35" s="230"/>
      <c r="R35" s="37">
        <v>55.7</v>
      </c>
      <c r="S35" s="36">
        <f t="shared" si="0"/>
        <v>13.60363387497288</v>
      </c>
      <c r="T35" s="35">
        <v>3</v>
      </c>
      <c r="V35" s="35">
        <f t="shared" si="4"/>
        <v>24</v>
      </c>
      <c r="W35" s="35">
        <f t="shared" si="1"/>
        <v>0</v>
      </c>
      <c r="X35" s="35">
        <v>0</v>
      </c>
      <c r="Y35" s="34">
        <v>0</v>
      </c>
      <c r="Z35" s="35">
        <f t="shared" si="2"/>
        <v>0</v>
      </c>
    </row>
    <row r="36" spans="1:26">
      <c r="A36" s="12">
        <f t="shared" si="3"/>
        <v>25</v>
      </c>
      <c r="B36" s="54"/>
      <c r="C36" s="213">
        <v>204</v>
      </c>
      <c r="D36" s="182">
        <v>204</v>
      </c>
      <c r="E36" s="235">
        <v>0.77</v>
      </c>
      <c r="F36" s="55">
        <v>0.77</v>
      </c>
      <c r="G36" s="55">
        <v>0.76</v>
      </c>
      <c r="H36" s="55">
        <v>0.76</v>
      </c>
      <c r="I36" s="55">
        <v>0.77</v>
      </c>
      <c r="J36" s="234">
        <v>0.77</v>
      </c>
      <c r="K36" s="166">
        <v>26.04</v>
      </c>
      <c r="L36" s="38">
        <v>26.13</v>
      </c>
      <c r="M36" s="233"/>
      <c r="N36" s="232" t="s">
        <v>20</v>
      </c>
      <c r="O36" s="232"/>
      <c r="P36" s="231"/>
      <c r="Q36" s="230"/>
      <c r="R36" s="37">
        <v>55</v>
      </c>
      <c r="S36" s="36">
        <f t="shared" si="0"/>
        <v>13.481403262107403</v>
      </c>
      <c r="T36" s="35">
        <v>3</v>
      </c>
      <c r="V36" s="35">
        <f t="shared" si="4"/>
        <v>25</v>
      </c>
      <c r="W36" s="35">
        <f t="shared" si="1"/>
        <v>0</v>
      </c>
      <c r="X36" s="35">
        <v>0</v>
      </c>
      <c r="Y36" s="34">
        <v>0</v>
      </c>
      <c r="Z36" s="35">
        <f t="shared" si="2"/>
        <v>0</v>
      </c>
    </row>
    <row r="37" spans="1:26">
      <c r="A37" s="12">
        <f t="shared" si="3"/>
        <v>26</v>
      </c>
      <c r="B37" s="54"/>
      <c r="C37" s="213">
        <v>204</v>
      </c>
      <c r="D37" s="182">
        <v>204</v>
      </c>
      <c r="E37" s="235">
        <v>0.79</v>
      </c>
      <c r="F37" s="55">
        <v>0.78</v>
      </c>
      <c r="G37" s="55">
        <v>0.79</v>
      </c>
      <c r="H37" s="55">
        <v>0.78</v>
      </c>
      <c r="I37" s="55">
        <v>0.79</v>
      </c>
      <c r="J37" s="234">
        <v>0.78</v>
      </c>
      <c r="K37" s="166">
        <v>26.08</v>
      </c>
      <c r="L37" s="38">
        <v>25.95</v>
      </c>
      <c r="M37" s="233"/>
      <c r="N37" s="232"/>
      <c r="O37" s="232"/>
      <c r="P37" s="231"/>
      <c r="Q37" s="230"/>
      <c r="R37" s="37">
        <v>56.2</v>
      </c>
      <c r="S37" s="36">
        <f t="shared" si="0"/>
        <v>13.490022100352752</v>
      </c>
      <c r="T37" s="35">
        <v>3</v>
      </c>
      <c r="V37" s="35">
        <f t="shared" si="4"/>
        <v>26</v>
      </c>
      <c r="W37" s="35">
        <f t="shared" si="1"/>
        <v>0</v>
      </c>
      <c r="X37" s="35">
        <v>0</v>
      </c>
      <c r="Y37" s="34">
        <v>0</v>
      </c>
      <c r="Z37" s="35">
        <f t="shared" si="2"/>
        <v>0</v>
      </c>
    </row>
    <row r="38" spans="1:26">
      <c r="A38" s="12">
        <f t="shared" si="3"/>
        <v>27</v>
      </c>
      <c r="B38" s="54"/>
      <c r="C38" s="213">
        <v>204</v>
      </c>
      <c r="D38" s="182">
        <v>204</v>
      </c>
      <c r="E38" s="235">
        <v>0.75</v>
      </c>
      <c r="F38" s="55">
        <v>0.77</v>
      </c>
      <c r="G38" s="55">
        <v>0.75</v>
      </c>
      <c r="H38" s="55">
        <v>0.78</v>
      </c>
      <c r="I38" s="55">
        <v>0.75</v>
      </c>
      <c r="J38" s="234">
        <v>0.77</v>
      </c>
      <c r="K38" s="166">
        <v>25.96</v>
      </c>
      <c r="L38" s="38">
        <v>25.99</v>
      </c>
      <c r="M38" s="233"/>
      <c r="N38" s="232"/>
      <c r="O38" s="232"/>
      <c r="P38" s="231"/>
      <c r="Q38" s="230"/>
      <c r="R38" s="37">
        <v>55</v>
      </c>
      <c r="S38" s="36">
        <f t="shared" si="0"/>
        <v>13.627369009702809</v>
      </c>
      <c r="T38" s="35">
        <v>3</v>
      </c>
      <c r="V38" s="35">
        <f t="shared" si="4"/>
        <v>27</v>
      </c>
      <c r="W38" s="35">
        <f t="shared" si="1"/>
        <v>0</v>
      </c>
      <c r="X38" s="35">
        <v>0</v>
      </c>
      <c r="Y38" s="34">
        <v>0</v>
      </c>
      <c r="Z38" s="35">
        <f t="shared" si="2"/>
        <v>0</v>
      </c>
    </row>
    <row r="39" spans="1:26">
      <c r="A39" s="12">
        <f t="shared" si="3"/>
        <v>28</v>
      </c>
      <c r="B39" s="54"/>
      <c r="C39" s="213">
        <v>204</v>
      </c>
      <c r="D39" s="182">
        <v>204</v>
      </c>
      <c r="E39" s="235">
        <v>0.76</v>
      </c>
      <c r="F39" s="55">
        <v>0.77</v>
      </c>
      <c r="G39" s="55">
        <v>0.75</v>
      </c>
      <c r="H39" s="55">
        <v>0.77</v>
      </c>
      <c r="I39" s="55">
        <v>0.75</v>
      </c>
      <c r="J39" s="234">
        <v>0.77</v>
      </c>
      <c r="K39" s="166">
        <v>25.84</v>
      </c>
      <c r="L39" s="38">
        <v>26.06</v>
      </c>
      <c r="M39" s="233"/>
      <c r="N39" s="232"/>
      <c r="O39" s="232"/>
      <c r="P39" s="231"/>
      <c r="Q39" s="230"/>
      <c r="R39" s="37">
        <v>54.4</v>
      </c>
      <c r="S39" s="36">
        <f t="shared" si="0"/>
        <v>13.491692068993142</v>
      </c>
      <c r="T39" s="35">
        <v>3</v>
      </c>
      <c r="V39" s="35">
        <f t="shared" si="4"/>
        <v>28</v>
      </c>
      <c r="W39" s="35">
        <f t="shared" si="1"/>
        <v>0</v>
      </c>
      <c r="X39" s="35">
        <v>0</v>
      </c>
      <c r="Y39" s="34">
        <v>0</v>
      </c>
      <c r="Z39" s="35">
        <f t="shared" si="2"/>
        <v>0</v>
      </c>
    </row>
    <row r="40" spans="1:26">
      <c r="A40" s="12">
        <f t="shared" si="3"/>
        <v>29</v>
      </c>
      <c r="B40" s="54"/>
      <c r="C40" s="213">
        <v>204</v>
      </c>
      <c r="D40" s="182">
        <v>204</v>
      </c>
      <c r="E40" s="235">
        <v>0.76</v>
      </c>
      <c r="F40" s="55">
        <v>0.78</v>
      </c>
      <c r="G40" s="55">
        <v>0.76</v>
      </c>
      <c r="H40" s="55">
        <v>0.77</v>
      </c>
      <c r="I40" s="55">
        <v>0.76</v>
      </c>
      <c r="J40" s="234">
        <v>0.77</v>
      </c>
      <c r="K40" s="166">
        <v>25.86</v>
      </c>
      <c r="L40" s="38">
        <v>26</v>
      </c>
      <c r="M40" s="233"/>
      <c r="N40" s="232"/>
      <c r="O40" s="232"/>
      <c r="P40" s="231"/>
      <c r="Q40" s="230"/>
      <c r="R40" s="37">
        <v>54.8</v>
      </c>
      <c r="S40" s="36">
        <f t="shared" si="0"/>
        <v>13.512673803068067</v>
      </c>
      <c r="T40" s="35">
        <v>3</v>
      </c>
      <c r="V40" s="35">
        <f t="shared" si="4"/>
        <v>29</v>
      </c>
      <c r="W40" s="35">
        <f t="shared" si="1"/>
        <v>0</v>
      </c>
      <c r="X40" s="35">
        <v>0</v>
      </c>
      <c r="Y40" s="34">
        <v>0</v>
      </c>
      <c r="Z40" s="35">
        <f t="shared" si="2"/>
        <v>0</v>
      </c>
    </row>
    <row r="41" spans="1:26">
      <c r="A41" s="12">
        <f t="shared" si="3"/>
        <v>30</v>
      </c>
      <c r="B41" s="54"/>
      <c r="C41" s="213">
        <v>204</v>
      </c>
      <c r="D41" s="182">
        <v>204</v>
      </c>
      <c r="E41" s="235">
        <v>0.73</v>
      </c>
      <c r="F41" s="55">
        <v>0.74</v>
      </c>
      <c r="G41" s="55">
        <v>0.74</v>
      </c>
      <c r="H41" s="55">
        <v>0.75</v>
      </c>
      <c r="I41" s="55">
        <v>0.74</v>
      </c>
      <c r="J41" s="234">
        <v>0.76</v>
      </c>
      <c r="K41" s="166">
        <v>26.02</v>
      </c>
      <c r="L41" s="38">
        <v>25.99</v>
      </c>
      <c r="M41" s="233"/>
      <c r="N41" s="232"/>
      <c r="O41" s="232"/>
      <c r="P41" s="231"/>
      <c r="Q41" s="230"/>
      <c r="R41" s="37">
        <v>53.5</v>
      </c>
      <c r="S41" s="36">
        <f t="shared" si="0"/>
        <v>13.566978855952209</v>
      </c>
      <c r="T41" s="35">
        <v>3</v>
      </c>
      <c r="V41" s="35">
        <f t="shared" si="4"/>
        <v>30</v>
      </c>
      <c r="W41" s="35">
        <f t="shared" si="1"/>
        <v>0</v>
      </c>
      <c r="X41" s="35">
        <v>0</v>
      </c>
      <c r="Y41" s="34">
        <v>0</v>
      </c>
      <c r="Z41" s="35">
        <f t="shared" si="2"/>
        <v>0</v>
      </c>
    </row>
    <row r="42" spans="1:26">
      <c r="A42" s="12">
        <f t="shared" si="3"/>
        <v>31</v>
      </c>
      <c r="B42" s="54"/>
      <c r="C42" s="213">
        <v>204</v>
      </c>
      <c r="D42" s="182">
        <v>204</v>
      </c>
      <c r="E42" s="235">
        <v>0.76</v>
      </c>
      <c r="F42" s="55">
        <v>0.77</v>
      </c>
      <c r="G42" s="55">
        <v>0.75</v>
      </c>
      <c r="H42" s="55">
        <v>0.76</v>
      </c>
      <c r="I42" s="55">
        <v>0.75</v>
      </c>
      <c r="J42" s="234">
        <v>0.75</v>
      </c>
      <c r="K42" s="166">
        <v>25.82</v>
      </c>
      <c r="L42" s="38">
        <v>26</v>
      </c>
      <c r="M42" s="233"/>
      <c r="N42" s="232"/>
      <c r="O42" s="232"/>
      <c r="P42" s="231"/>
      <c r="Q42" s="230"/>
      <c r="R42" s="37">
        <v>54.6</v>
      </c>
      <c r="S42" s="36">
        <f t="shared" si="0"/>
        <v>13.651817056850266</v>
      </c>
      <c r="T42" s="35">
        <v>3</v>
      </c>
      <c r="V42" s="35">
        <f t="shared" si="4"/>
        <v>31</v>
      </c>
      <c r="W42" s="35">
        <f t="shared" si="1"/>
        <v>0</v>
      </c>
      <c r="X42" s="35">
        <v>0</v>
      </c>
      <c r="Y42" s="34">
        <v>0</v>
      </c>
      <c r="Z42" s="35">
        <f t="shared" si="2"/>
        <v>0</v>
      </c>
    </row>
    <row r="43" spans="1:26">
      <c r="A43" s="12">
        <f t="shared" si="3"/>
        <v>32</v>
      </c>
      <c r="B43" s="54" t="s">
        <v>77</v>
      </c>
      <c r="C43" s="213">
        <v>204</v>
      </c>
      <c r="D43" s="182">
        <v>204</v>
      </c>
      <c r="E43" s="235">
        <v>0.77</v>
      </c>
      <c r="F43" s="55">
        <v>0.78</v>
      </c>
      <c r="G43" s="55">
        <v>0.78</v>
      </c>
      <c r="H43" s="55">
        <v>0.78</v>
      </c>
      <c r="I43" s="55">
        <v>0.78</v>
      </c>
      <c r="J43" s="234">
        <v>0.78</v>
      </c>
      <c r="K43" s="166">
        <v>26.01</v>
      </c>
      <c r="L43" s="38">
        <v>25.93</v>
      </c>
      <c r="M43" s="233"/>
      <c r="N43" s="232"/>
      <c r="O43" s="232"/>
      <c r="P43" s="231"/>
      <c r="Q43" s="230"/>
      <c r="R43" s="37">
        <v>55.6</v>
      </c>
      <c r="S43" s="36">
        <f t="shared" si="0"/>
        <v>13.483636758004074</v>
      </c>
      <c r="T43" s="35">
        <v>3</v>
      </c>
      <c r="V43" s="35">
        <f t="shared" si="4"/>
        <v>32</v>
      </c>
      <c r="W43" s="35">
        <f t="shared" si="1"/>
        <v>0</v>
      </c>
      <c r="X43" s="35">
        <v>0</v>
      </c>
      <c r="Y43" s="34">
        <v>0</v>
      </c>
      <c r="Z43" s="35">
        <f t="shared" si="2"/>
        <v>0</v>
      </c>
    </row>
    <row r="44" spans="1:26">
      <c r="A44" s="44">
        <f t="shared" si="3"/>
        <v>33</v>
      </c>
      <c r="B44" s="54" t="s">
        <v>64</v>
      </c>
      <c r="C44" s="189">
        <v>204</v>
      </c>
      <c r="D44" s="60">
        <v>204</v>
      </c>
      <c r="E44" s="235">
        <v>0.75</v>
      </c>
      <c r="F44" s="55">
        <v>0.77</v>
      </c>
      <c r="G44" s="55">
        <v>0.75</v>
      </c>
      <c r="H44" s="55">
        <v>0.77</v>
      </c>
      <c r="I44" s="55">
        <v>0.73</v>
      </c>
      <c r="J44" s="234">
        <v>0.75</v>
      </c>
      <c r="K44" s="118">
        <v>28.36</v>
      </c>
      <c r="L44" s="212">
        <v>28.23</v>
      </c>
      <c r="M44" s="233"/>
      <c r="N44" s="232"/>
      <c r="O44" s="232"/>
      <c r="P44" s="231"/>
      <c r="Q44" s="230"/>
      <c r="R44" s="37">
        <v>60.9</v>
      </c>
      <c r="S44" s="36">
        <f t="shared" si="0"/>
        <v>14.005229907002512</v>
      </c>
      <c r="T44" s="35">
        <v>3</v>
      </c>
      <c r="V44" s="172">
        <f t="shared" si="4"/>
        <v>33</v>
      </c>
      <c r="W44" s="35">
        <f t="shared" si="1"/>
        <v>0</v>
      </c>
      <c r="X44" s="35">
        <v>1</v>
      </c>
      <c r="Y44" s="34">
        <v>0</v>
      </c>
      <c r="Z44" s="35">
        <f t="shared" si="2"/>
        <v>0</v>
      </c>
    </row>
    <row r="45" spans="1:26">
      <c r="A45" s="44">
        <f t="shared" si="3"/>
        <v>34</v>
      </c>
      <c r="B45" s="54"/>
      <c r="C45" s="189">
        <v>204</v>
      </c>
      <c r="D45" s="60">
        <v>204</v>
      </c>
      <c r="E45" s="235">
        <v>0.78</v>
      </c>
      <c r="F45" s="55">
        <v>0.75</v>
      </c>
      <c r="G45" s="55">
        <v>0.78</v>
      </c>
      <c r="H45" s="55">
        <v>0.76</v>
      </c>
      <c r="I45" s="55">
        <v>0.76</v>
      </c>
      <c r="J45" s="234">
        <v>0.75</v>
      </c>
      <c r="K45" s="118">
        <v>28.35</v>
      </c>
      <c r="L45" s="212">
        <v>28.2</v>
      </c>
      <c r="M45" s="233"/>
      <c r="N45" s="232"/>
      <c r="O45" s="232"/>
      <c r="P45" s="231"/>
      <c r="Q45" s="230"/>
      <c r="R45" s="37">
        <v>61.9</v>
      </c>
      <c r="S45" s="36">
        <f t="shared" si="0"/>
        <v>14.058650692042191</v>
      </c>
      <c r="T45" s="35">
        <v>3</v>
      </c>
      <c r="V45" s="172">
        <f t="shared" si="4"/>
        <v>34</v>
      </c>
      <c r="W45" s="35">
        <f t="shared" si="1"/>
        <v>0</v>
      </c>
      <c r="X45" s="35">
        <v>1</v>
      </c>
      <c r="Y45" s="34">
        <v>0</v>
      </c>
      <c r="Z45" s="35">
        <f t="shared" si="2"/>
        <v>0</v>
      </c>
    </row>
    <row r="46" spans="1:26">
      <c r="A46" s="32">
        <f t="shared" si="3"/>
        <v>35</v>
      </c>
      <c r="B46" s="54"/>
      <c r="C46" s="189">
        <v>203</v>
      </c>
      <c r="D46" s="60">
        <v>204</v>
      </c>
      <c r="E46" s="235">
        <v>0.75</v>
      </c>
      <c r="F46" s="55">
        <v>0.76</v>
      </c>
      <c r="G46" s="55">
        <v>0.76</v>
      </c>
      <c r="H46" s="55">
        <v>0.78</v>
      </c>
      <c r="I46" s="55">
        <v>0.76</v>
      </c>
      <c r="J46" s="234">
        <v>0.78</v>
      </c>
      <c r="K46" s="118">
        <v>27.92</v>
      </c>
      <c r="L46" s="212">
        <v>28.4</v>
      </c>
      <c r="M46" s="233"/>
      <c r="N46" s="232"/>
      <c r="O46" s="232"/>
      <c r="P46" s="231"/>
      <c r="Q46" s="230"/>
      <c r="R46" s="37">
        <v>61</v>
      </c>
      <c r="S46" s="36">
        <f t="shared" si="0"/>
        <v>13.914619529592791</v>
      </c>
      <c r="T46" s="35">
        <v>3</v>
      </c>
      <c r="V46" s="161">
        <f t="shared" si="4"/>
        <v>35</v>
      </c>
      <c r="W46" s="35">
        <f t="shared" si="1"/>
        <v>0</v>
      </c>
      <c r="X46" s="35">
        <v>1</v>
      </c>
      <c r="Y46" s="34">
        <v>0</v>
      </c>
      <c r="Z46" s="35">
        <f t="shared" si="2"/>
        <v>0</v>
      </c>
    </row>
    <row r="47" spans="1:26">
      <c r="A47" s="12">
        <f t="shared" si="3"/>
        <v>36</v>
      </c>
      <c r="B47" s="54"/>
      <c r="C47" s="189">
        <v>205</v>
      </c>
      <c r="D47" s="60">
        <v>205</v>
      </c>
      <c r="E47" s="235">
        <v>0.78</v>
      </c>
      <c r="F47" s="55">
        <v>0.76</v>
      </c>
      <c r="G47" s="55">
        <v>0.78</v>
      </c>
      <c r="H47" s="55">
        <v>0.78</v>
      </c>
      <c r="I47" s="55">
        <v>0.78</v>
      </c>
      <c r="J47" s="234">
        <v>0.78</v>
      </c>
      <c r="K47" s="118">
        <v>26.57</v>
      </c>
      <c r="L47" s="212">
        <v>26.73</v>
      </c>
      <c r="M47" s="233"/>
      <c r="N47" s="232" t="s">
        <v>20</v>
      </c>
      <c r="O47" s="232"/>
      <c r="P47" s="231"/>
      <c r="Q47" s="236" t="s">
        <v>21</v>
      </c>
      <c r="R47" s="37">
        <v>59.2</v>
      </c>
      <c r="S47" s="36">
        <f t="shared" si="0"/>
        <v>13.951983886087076</v>
      </c>
      <c r="T47" s="35">
        <v>3</v>
      </c>
      <c r="V47" s="35">
        <f t="shared" si="4"/>
        <v>36</v>
      </c>
      <c r="W47" s="35">
        <f t="shared" si="1"/>
        <v>0</v>
      </c>
      <c r="X47" s="35">
        <v>0</v>
      </c>
      <c r="Y47" s="34">
        <v>0</v>
      </c>
      <c r="Z47" s="35">
        <f t="shared" si="2"/>
        <v>0</v>
      </c>
    </row>
    <row r="48" spans="1:26">
      <c r="A48" s="12">
        <f t="shared" si="3"/>
        <v>37</v>
      </c>
      <c r="B48" s="54"/>
      <c r="C48" s="189">
        <v>204</v>
      </c>
      <c r="D48" s="60">
        <v>204</v>
      </c>
      <c r="E48" s="235">
        <v>0.8</v>
      </c>
      <c r="F48" s="55">
        <v>0.8</v>
      </c>
      <c r="G48" s="55">
        <v>0.8</v>
      </c>
      <c r="H48" s="55">
        <v>0.8</v>
      </c>
      <c r="I48" s="55">
        <v>0.79</v>
      </c>
      <c r="J48" s="234">
        <v>0.79</v>
      </c>
      <c r="K48" s="118">
        <v>26.76</v>
      </c>
      <c r="L48" s="212">
        <v>26.7</v>
      </c>
      <c r="M48" s="233"/>
      <c r="N48" s="232"/>
      <c r="O48" s="232"/>
      <c r="P48" s="231"/>
      <c r="Q48" s="230"/>
      <c r="R48" s="37">
        <v>60.1</v>
      </c>
      <c r="S48" s="36">
        <f t="shared" si="0"/>
        <v>13.834666663720181</v>
      </c>
      <c r="T48" s="35">
        <v>3</v>
      </c>
      <c r="V48" s="35">
        <f t="shared" si="4"/>
        <v>37</v>
      </c>
      <c r="W48" s="35">
        <f t="shared" si="1"/>
        <v>0</v>
      </c>
      <c r="X48" s="35">
        <v>0</v>
      </c>
      <c r="Y48" s="34">
        <v>0</v>
      </c>
      <c r="Z48" s="35">
        <f t="shared" si="2"/>
        <v>0</v>
      </c>
    </row>
    <row r="49" spans="1:26">
      <c r="A49" s="12">
        <f t="shared" si="3"/>
        <v>38</v>
      </c>
      <c r="B49" s="54"/>
      <c r="C49" s="189">
        <v>203</v>
      </c>
      <c r="D49" s="60">
        <v>203</v>
      </c>
      <c r="E49" s="235">
        <v>0.79</v>
      </c>
      <c r="F49" s="55">
        <v>0.79</v>
      </c>
      <c r="G49" s="55">
        <v>0.79</v>
      </c>
      <c r="H49" s="55">
        <v>0.79</v>
      </c>
      <c r="I49" s="55">
        <v>0.79</v>
      </c>
      <c r="J49" s="234">
        <v>0.79</v>
      </c>
      <c r="K49" s="118">
        <v>26.08</v>
      </c>
      <c r="L49" s="212">
        <v>26.03</v>
      </c>
      <c r="M49" s="233"/>
      <c r="N49" s="232"/>
      <c r="O49" s="232"/>
      <c r="P49" s="231"/>
      <c r="Q49" s="230"/>
      <c r="R49" s="37">
        <v>58.1</v>
      </c>
      <c r="S49" s="36">
        <f t="shared" si="0"/>
        <v>13.904709684320371</v>
      </c>
      <c r="T49" s="35">
        <v>3</v>
      </c>
      <c r="V49" s="35">
        <f t="shared" si="4"/>
        <v>38</v>
      </c>
      <c r="W49" s="35">
        <f t="shared" si="1"/>
        <v>0</v>
      </c>
      <c r="X49" s="35">
        <v>0</v>
      </c>
      <c r="Y49" s="34">
        <v>0</v>
      </c>
      <c r="Z49" s="35">
        <f t="shared" si="2"/>
        <v>0</v>
      </c>
    </row>
    <row r="50" spans="1:26">
      <c r="A50" s="12">
        <f t="shared" si="3"/>
        <v>39</v>
      </c>
      <c r="B50" s="54"/>
      <c r="C50" s="189">
        <v>204</v>
      </c>
      <c r="D50" s="60">
        <v>204</v>
      </c>
      <c r="E50" s="235">
        <v>0.79</v>
      </c>
      <c r="F50" s="55">
        <v>0.78</v>
      </c>
      <c r="G50" s="55">
        <v>0.8</v>
      </c>
      <c r="H50" s="55">
        <v>0.78</v>
      </c>
      <c r="I50" s="55">
        <v>0.76</v>
      </c>
      <c r="J50" s="234">
        <v>0.75</v>
      </c>
      <c r="K50" s="118">
        <v>26.49</v>
      </c>
      <c r="L50" s="212">
        <v>26.7</v>
      </c>
      <c r="M50" s="233"/>
      <c r="N50" s="232"/>
      <c r="O50" s="232"/>
      <c r="P50" s="231"/>
      <c r="Q50" s="230"/>
      <c r="R50" s="37">
        <v>59</v>
      </c>
      <c r="S50" s="36">
        <f t="shared" si="0"/>
        <v>14.001906822388751</v>
      </c>
      <c r="T50" s="35">
        <v>3</v>
      </c>
      <c r="V50" s="35">
        <f t="shared" si="4"/>
        <v>39</v>
      </c>
      <c r="W50" s="35">
        <f t="shared" si="1"/>
        <v>0</v>
      </c>
      <c r="X50" s="35">
        <v>0</v>
      </c>
      <c r="Y50" s="34">
        <v>0</v>
      </c>
      <c r="Z50" s="35">
        <f t="shared" si="2"/>
        <v>0</v>
      </c>
    </row>
    <row r="51" spans="1:26">
      <c r="A51" s="12">
        <f t="shared" si="3"/>
        <v>40</v>
      </c>
      <c r="B51" s="54"/>
      <c r="C51" s="189">
        <v>204</v>
      </c>
      <c r="D51" s="60">
        <v>204</v>
      </c>
      <c r="E51" s="235">
        <v>0.79</v>
      </c>
      <c r="F51" s="55">
        <v>0.79</v>
      </c>
      <c r="G51" s="55">
        <v>0.8</v>
      </c>
      <c r="H51" s="55">
        <v>0.8</v>
      </c>
      <c r="I51" s="55">
        <v>0.77</v>
      </c>
      <c r="J51" s="234">
        <v>0.78</v>
      </c>
      <c r="K51" s="118">
        <v>26.2</v>
      </c>
      <c r="L51" s="212">
        <v>26.04</v>
      </c>
      <c r="M51" s="233"/>
      <c r="N51" s="232"/>
      <c r="O51" s="232"/>
      <c r="P51" s="231"/>
      <c r="Q51" s="230"/>
      <c r="R51" s="37">
        <v>59.2</v>
      </c>
      <c r="S51" s="36">
        <f t="shared" si="0"/>
        <v>14.09316304475551</v>
      </c>
      <c r="T51" s="35">
        <v>3</v>
      </c>
      <c r="V51" s="35">
        <f t="shared" si="4"/>
        <v>40</v>
      </c>
      <c r="W51" s="35">
        <f t="shared" si="1"/>
        <v>0</v>
      </c>
      <c r="X51" s="35">
        <v>0</v>
      </c>
      <c r="Y51" s="34">
        <v>0</v>
      </c>
      <c r="Z51" s="35">
        <f t="shared" si="2"/>
        <v>0</v>
      </c>
    </row>
    <row r="52" spans="1:26">
      <c r="A52" s="12">
        <f t="shared" si="3"/>
        <v>41</v>
      </c>
      <c r="B52" s="54"/>
      <c r="C52" s="189">
        <v>203</v>
      </c>
      <c r="D52" s="60">
        <v>203</v>
      </c>
      <c r="E52" s="235">
        <v>0.77</v>
      </c>
      <c r="F52" s="55">
        <v>0.77</v>
      </c>
      <c r="G52" s="55">
        <v>0.76</v>
      </c>
      <c r="H52" s="55">
        <v>0.79</v>
      </c>
      <c r="I52" s="55">
        <v>0.75</v>
      </c>
      <c r="J52" s="234">
        <v>0.78</v>
      </c>
      <c r="K52" s="118">
        <v>26.56</v>
      </c>
      <c r="L52" s="212">
        <v>26.61</v>
      </c>
      <c r="M52" s="233"/>
      <c r="N52" s="232"/>
      <c r="O52" s="232"/>
      <c r="P52" s="231"/>
      <c r="Q52" s="230"/>
      <c r="R52" s="37">
        <v>58.4</v>
      </c>
      <c r="S52" s="36">
        <f t="shared" si="0"/>
        <v>14.053659253413548</v>
      </c>
      <c r="T52" s="35">
        <v>3</v>
      </c>
      <c r="V52" s="35">
        <f t="shared" si="4"/>
        <v>41</v>
      </c>
      <c r="W52" s="35">
        <f t="shared" si="1"/>
        <v>0</v>
      </c>
      <c r="X52" s="35">
        <v>0</v>
      </c>
      <c r="Y52" s="34">
        <v>0</v>
      </c>
      <c r="Z52" s="35">
        <f t="shared" si="2"/>
        <v>0</v>
      </c>
    </row>
    <row r="53" spans="1:26">
      <c r="A53" s="71">
        <f t="shared" si="3"/>
        <v>42</v>
      </c>
      <c r="B53" s="74"/>
      <c r="C53" s="229">
        <v>204</v>
      </c>
      <c r="D53" s="228">
        <v>204</v>
      </c>
      <c r="E53" s="227">
        <v>0.79</v>
      </c>
      <c r="F53" s="76">
        <v>0.79</v>
      </c>
      <c r="G53" s="76">
        <v>0.78</v>
      </c>
      <c r="H53" s="76">
        <v>0.78</v>
      </c>
      <c r="I53" s="76">
        <v>0.77</v>
      </c>
      <c r="J53" s="226">
        <v>0.77</v>
      </c>
      <c r="K53" s="112">
        <v>26.69</v>
      </c>
      <c r="L53" s="207">
        <v>26.78</v>
      </c>
      <c r="M53" s="225"/>
      <c r="N53" s="224"/>
      <c r="O53" s="224"/>
      <c r="P53" s="223"/>
      <c r="Q53" s="222"/>
      <c r="R53" s="21">
        <v>59.2</v>
      </c>
      <c r="S53" s="20">
        <f t="shared" si="0"/>
        <v>13.916074598810381</v>
      </c>
      <c r="T53" s="19">
        <v>3</v>
      </c>
      <c r="V53" s="19">
        <f t="shared" si="4"/>
        <v>42</v>
      </c>
      <c r="W53" s="19">
        <f t="shared" si="1"/>
        <v>0</v>
      </c>
      <c r="X53" s="19">
        <v>0</v>
      </c>
      <c r="Y53" s="18">
        <v>0</v>
      </c>
      <c r="Z53" s="19">
        <f t="shared" si="2"/>
        <v>0</v>
      </c>
    </row>
    <row r="54" spans="1:26" s="16" customFormat="1">
      <c r="W54" s="16">
        <f>SUM(W12:W53)</f>
        <v>0</v>
      </c>
      <c r="X54" s="16">
        <f>SUM(X12:X53)</f>
        <v>3</v>
      </c>
      <c r="Y54" s="16">
        <f>SUM(Y12:Y53)</f>
        <v>0</v>
      </c>
      <c r="Z54" s="16">
        <f>SUM(Z12:Z53)</f>
        <v>0</v>
      </c>
    </row>
    <row r="56" spans="1:26">
      <c r="A56" s="12" t="s">
        <v>17</v>
      </c>
      <c r="C56" s="1" t="s">
        <v>16</v>
      </c>
      <c r="E56" s="1" t="s">
        <v>15</v>
      </c>
      <c r="K56" s="1" t="s">
        <v>14</v>
      </c>
      <c r="R56" s="1" t="s">
        <v>13</v>
      </c>
      <c r="S56" s="1" t="s">
        <v>12</v>
      </c>
    </row>
    <row r="57" spans="1:26">
      <c r="A57" s="12"/>
    </row>
    <row r="58" spans="1:26">
      <c r="A58" s="1" t="s">
        <v>11</v>
      </c>
      <c r="C58" s="1">
        <f>8*25.4</f>
        <v>203.2</v>
      </c>
      <c r="E58" s="7">
        <f>C6</f>
        <v>0.7619999999999999</v>
      </c>
      <c r="K58" s="11">
        <v>25.4</v>
      </c>
    </row>
    <row r="59" spans="1:26">
      <c r="A59" s="1" t="s">
        <v>10</v>
      </c>
      <c r="C59" s="1">
        <f>MODE(C12:D53)</f>
        <v>204</v>
      </c>
      <c r="E59" s="1">
        <f>MODE(E12:J53)</f>
        <v>0.78</v>
      </c>
      <c r="K59" s="1">
        <f>MODE(K12:L53)</f>
        <v>26.02</v>
      </c>
      <c r="R59" s="1">
        <f>MODE(R12:R53)</f>
        <v>55.8</v>
      </c>
      <c r="S59" s="1" t="e">
        <f>MODE(S12:S53)</f>
        <v>#N/A</v>
      </c>
    </row>
    <row r="60" spans="1:26">
      <c r="A60" s="1" t="s">
        <v>9</v>
      </c>
      <c r="C60" s="10">
        <f>AVERAGE(C12:D53)</f>
        <v>203.96428571428572</v>
      </c>
      <c r="D60" s="10"/>
      <c r="E60" s="7">
        <f>AVERAGE(E12:J53)</f>
        <v>0.76773809523809533</v>
      </c>
      <c r="K60" s="6">
        <f>AVERAGE(K12:L53)</f>
        <v>26.22011904761905</v>
      </c>
      <c r="R60" s="9">
        <f>AVERAGE(R12:R53)</f>
        <v>56.159523809523805</v>
      </c>
      <c r="S60" s="9">
        <f>AVERAGE(S12:S53)</f>
        <v>13.674725009424375</v>
      </c>
    </row>
    <row r="61" spans="1:26">
      <c r="A61" s="1" t="s">
        <v>8</v>
      </c>
      <c r="C61" s="1">
        <f>STDEV(C12:D53)</f>
        <v>0.28817784717199985</v>
      </c>
      <c r="E61" s="1">
        <f>STDEV(E12:J53)</f>
        <v>1.5280995447137447E-2</v>
      </c>
      <c r="K61" s="1">
        <f>STDEV(K12:L53)</f>
        <v>0.62221813485598476</v>
      </c>
      <c r="R61" s="1">
        <f>STDEV(R12:R53)</f>
        <v>2.1955675441403977</v>
      </c>
      <c r="S61" s="1">
        <f>STDEV(S12:S53)</f>
        <v>0.18625610976943024</v>
      </c>
    </row>
    <row r="62" spans="1:26">
      <c r="A62" s="8" t="s">
        <v>7</v>
      </c>
      <c r="E62" s="7">
        <f>E60+E61</f>
        <v>0.78301909068523279</v>
      </c>
      <c r="K62" s="6">
        <f>K60+K61</f>
        <v>26.842337182475035</v>
      </c>
      <c r="R62" s="1">
        <f>R60+R61</f>
        <v>58.3550913536642</v>
      </c>
      <c r="S62" s="9">
        <f>S60+S61</f>
        <v>13.860981119193806</v>
      </c>
    </row>
    <row r="63" spans="1:26">
      <c r="A63" s="8" t="s">
        <v>6</v>
      </c>
      <c r="E63" s="7">
        <f>E60-E61</f>
        <v>0.75245709979095787</v>
      </c>
      <c r="K63" s="6">
        <f>K60-K61</f>
        <v>25.597900912763066</v>
      </c>
      <c r="R63" s="1">
        <f>R60-R61</f>
        <v>53.963956265383409</v>
      </c>
      <c r="S63" s="9">
        <f>S60-S61</f>
        <v>13.488468899654944</v>
      </c>
    </row>
    <row r="64" spans="1:26">
      <c r="A64" s="1" t="s">
        <v>72</v>
      </c>
      <c r="C64" s="6">
        <f>MAX(C12:D53)-C58</f>
        <v>1.8000000000000114</v>
      </c>
      <c r="E64" s="7">
        <f>MAX($E$12:J53)-$E$58</f>
        <v>3.8000000000000145E-2</v>
      </c>
      <c r="K64" s="6">
        <f>MAX(K12:L53)-$K$58</f>
        <v>3</v>
      </c>
    </row>
    <row r="65" spans="1:11">
      <c r="A65" s="1" t="s">
        <v>71</v>
      </c>
      <c r="C65" s="6">
        <f>MIN(C12:D53)-C58</f>
        <v>-0.19999999999998863</v>
      </c>
      <c r="E65" s="7">
        <f>MIN($E$12:J53)-$E$58</f>
        <v>-3.1999999999999917E-2</v>
      </c>
      <c r="K65" s="6">
        <f>MIN(K12:L53)-K58</f>
        <v>8.9999999999999858E-2</v>
      </c>
    </row>
    <row r="66" spans="1:11" ht="15" thickBot="1"/>
    <row r="67" spans="1:11">
      <c r="A67" s="1" t="s">
        <v>3</v>
      </c>
      <c r="C67" s="5" t="s">
        <v>2</v>
      </c>
      <c r="D67" s="5" t="s">
        <v>1</v>
      </c>
    </row>
    <row r="68" spans="1:11">
      <c r="A68" s="1">
        <v>0.72</v>
      </c>
      <c r="C68" s="4">
        <v>0.72</v>
      </c>
      <c r="D68" s="3">
        <v>0</v>
      </c>
    </row>
    <row r="69" spans="1:11">
      <c r="A69" s="1">
        <f t="shared" ref="A69:A77" si="5">A68+0.01</f>
        <v>0.73</v>
      </c>
      <c r="C69" s="4">
        <v>0.73</v>
      </c>
      <c r="D69" s="3">
        <v>4</v>
      </c>
    </row>
    <row r="70" spans="1:11">
      <c r="A70" s="1">
        <f t="shared" si="5"/>
        <v>0.74</v>
      </c>
      <c r="C70" s="4">
        <v>0.74</v>
      </c>
      <c r="D70" s="3">
        <v>16</v>
      </c>
    </row>
    <row r="71" spans="1:11">
      <c r="A71" s="1">
        <f t="shared" si="5"/>
        <v>0.75</v>
      </c>
      <c r="C71" s="4">
        <v>0.75</v>
      </c>
      <c r="D71" s="3">
        <v>34</v>
      </c>
    </row>
    <row r="72" spans="1:11">
      <c r="A72" s="1">
        <f t="shared" si="5"/>
        <v>0.76</v>
      </c>
      <c r="C72" s="4">
        <v>0.76</v>
      </c>
      <c r="D72" s="3">
        <v>49</v>
      </c>
    </row>
    <row r="73" spans="1:11">
      <c r="A73" s="1">
        <f t="shared" si="5"/>
        <v>0.77</v>
      </c>
      <c r="C73" s="4">
        <v>0.77</v>
      </c>
      <c r="D73" s="3">
        <v>59</v>
      </c>
    </row>
    <row r="74" spans="1:11">
      <c r="A74" s="1">
        <f t="shared" si="5"/>
        <v>0.78</v>
      </c>
      <c r="C74" s="4">
        <v>0.78</v>
      </c>
      <c r="D74" s="3">
        <v>63</v>
      </c>
    </row>
    <row r="75" spans="1:11">
      <c r="A75" s="1">
        <f t="shared" si="5"/>
        <v>0.79</v>
      </c>
      <c r="C75" s="4">
        <v>0.79</v>
      </c>
      <c r="D75" s="3">
        <v>20</v>
      </c>
    </row>
    <row r="76" spans="1:11">
      <c r="A76" s="1">
        <f t="shared" si="5"/>
        <v>0.8</v>
      </c>
      <c r="C76" s="4">
        <v>0.8</v>
      </c>
      <c r="D76" s="3">
        <v>7</v>
      </c>
    </row>
    <row r="77" spans="1:11">
      <c r="A77" s="1">
        <f t="shared" si="5"/>
        <v>0.81</v>
      </c>
      <c r="C77" s="4">
        <v>0.81</v>
      </c>
      <c r="D77" s="3">
        <v>0</v>
      </c>
    </row>
    <row r="78" spans="1:11" ht="15" thickBot="1">
      <c r="C78" s="2" t="s">
        <v>0</v>
      </c>
      <c r="D78" s="2">
        <v>0</v>
      </c>
    </row>
  </sheetData>
  <mergeCells count="4">
    <mergeCell ref="C9:D9"/>
    <mergeCell ref="E9:I9"/>
    <mergeCell ref="K9:L9"/>
    <mergeCell ref="M9:P9"/>
  </mergeCells>
  <phoneticPr fontId="16" type="noConversion"/>
  <pageMargins left="0.25" right="0.25" top="0.25" bottom="0.25" header="0.3" footer="0.3"/>
  <pageSetup orientation="landscape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74"/>
  <sheetViews>
    <sheetView topLeftCell="A2" zoomScale="75" zoomScaleNormal="75" zoomScalePageLayoutView="75" workbookViewId="0">
      <selection activeCell="AC32" sqref="AC32"/>
    </sheetView>
  </sheetViews>
  <sheetFormatPr baseColWidth="10" defaultColWidth="8.83203125" defaultRowHeight="14" x14ac:dyDescent="0"/>
  <cols>
    <col min="1" max="1" width="6.33203125" style="1" customWidth="1"/>
    <col min="2" max="2" width="16.1640625" style="1" customWidth="1"/>
    <col min="3" max="4" width="5.1640625" style="1" customWidth="1"/>
    <col min="5" max="9" width="6.83203125" style="1" customWidth="1"/>
    <col min="10" max="10" width="6.83203125" style="1" bestFit="1" customWidth="1"/>
    <col min="11" max="12" width="6.83203125" style="1" customWidth="1"/>
    <col min="13" max="16" width="3.6640625" style="1" customWidth="1"/>
    <col min="17" max="17" width="7" style="1" customWidth="1"/>
    <col min="18" max="18" width="5.5" style="1" customWidth="1"/>
    <col min="19" max="19" width="5.1640625" style="1" customWidth="1"/>
    <col min="20" max="20" width="9.83203125" style="1" customWidth="1"/>
    <col min="21" max="24" width="8.83203125" style="1"/>
    <col min="25" max="25" width="9.5" style="1" bestFit="1" customWidth="1"/>
    <col min="26" max="16384" width="8.83203125" style="1"/>
  </cols>
  <sheetData>
    <row r="1" spans="1:28">
      <c r="A1" s="1" t="s">
        <v>49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9"/>
      <c r="S1" s="9"/>
      <c r="T1" s="9"/>
    </row>
    <row r="2" spans="1:28">
      <c r="A2" s="1" t="s">
        <v>48</v>
      </c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9"/>
      <c r="S2" s="9"/>
      <c r="T2" s="9"/>
    </row>
    <row r="3" spans="1:28">
      <c r="A3" s="1" t="s">
        <v>47</v>
      </c>
      <c r="B3" s="79"/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  <c r="R3" s="9"/>
      <c r="S3" s="9"/>
      <c r="T3" s="9"/>
    </row>
    <row r="4" spans="1:28">
      <c r="B4" s="79"/>
      <c r="C4" s="79"/>
      <c r="D4" s="79"/>
      <c r="E4" s="79"/>
      <c r="F4" s="79"/>
      <c r="G4" s="79"/>
      <c r="H4" s="79"/>
      <c r="I4" s="79"/>
      <c r="J4" s="79"/>
      <c r="K4" s="79"/>
      <c r="L4" s="79"/>
      <c r="M4" s="79"/>
      <c r="N4" s="79"/>
      <c r="O4" s="79"/>
      <c r="P4" s="79"/>
      <c r="Q4" s="79"/>
      <c r="R4" s="9"/>
      <c r="S4" s="9"/>
      <c r="T4" s="9"/>
    </row>
    <row r="5" spans="1:28">
      <c r="B5" s="79" t="s">
        <v>46</v>
      </c>
      <c r="C5" s="79" t="s">
        <v>45</v>
      </c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9"/>
      <c r="S5" s="9"/>
      <c r="T5" s="9"/>
    </row>
    <row r="6" spans="1:28">
      <c r="A6" s="1" t="s">
        <v>86</v>
      </c>
      <c r="B6" s="79">
        <v>3.5000000000000003E-2</v>
      </c>
      <c r="C6" s="79">
        <f>B6*25.4</f>
        <v>0.88900000000000001</v>
      </c>
      <c r="D6" s="79"/>
      <c r="E6" s="79"/>
      <c r="F6" s="79"/>
      <c r="G6" s="79"/>
      <c r="H6" s="79"/>
      <c r="I6" s="79"/>
      <c r="J6" s="79"/>
      <c r="K6" s="79"/>
      <c r="L6" s="79"/>
      <c r="M6" s="79"/>
      <c r="N6" s="79"/>
      <c r="O6" s="79"/>
      <c r="P6" s="79"/>
      <c r="Q6" s="79"/>
      <c r="R6" s="9"/>
      <c r="S6" s="9"/>
      <c r="T6" s="9"/>
    </row>
    <row r="7" spans="1:28">
      <c r="B7" s="79"/>
      <c r="C7" s="79"/>
      <c r="D7" s="79"/>
      <c r="E7" s="79"/>
      <c r="F7" s="79"/>
      <c r="G7" s="79"/>
      <c r="H7" s="79"/>
      <c r="I7" s="79"/>
      <c r="J7" s="79"/>
      <c r="K7" s="79"/>
      <c r="L7" s="79"/>
      <c r="M7" s="79"/>
      <c r="N7" s="79"/>
      <c r="O7" s="79"/>
      <c r="P7" s="79"/>
      <c r="Q7" s="79"/>
      <c r="R7" s="9"/>
      <c r="S7" s="9"/>
      <c r="T7" s="9"/>
    </row>
    <row r="8" spans="1:28">
      <c r="A8" s="1" t="s">
        <v>54</v>
      </c>
      <c r="B8" s="79"/>
      <c r="C8" s="79"/>
      <c r="D8" s="79"/>
      <c r="E8" s="79"/>
      <c r="F8" s="79"/>
      <c r="G8" s="79"/>
      <c r="H8" s="79"/>
      <c r="I8" s="79"/>
      <c r="J8" s="79"/>
      <c r="K8" s="79"/>
      <c r="L8" s="79"/>
      <c r="M8" s="79"/>
      <c r="N8" s="79"/>
      <c r="O8" s="79"/>
      <c r="P8" s="79"/>
      <c r="Q8" s="79"/>
      <c r="R8" s="9"/>
      <c r="S8" s="9"/>
      <c r="T8" s="9"/>
      <c r="V8" s="221" t="s">
        <v>42</v>
      </c>
      <c r="W8" s="221"/>
      <c r="Z8" s="221"/>
    </row>
    <row r="9" spans="1:28" ht="42">
      <c r="A9" s="71" t="s">
        <v>32</v>
      </c>
      <c r="B9" s="76" t="s">
        <v>41</v>
      </c>
      <c r="C9" s="386" t="s">
        <v>40</v>
      </c>
      <c r="D9" s="387"/>
      <c r="E9" s="385" t="s">
        <v>39</v>
      </c>
      <c r="F9" s="385"/>
      <c r="G9" s="385"/>
      <c r="H9" s="385"/>
      <c r="I9" s="385"/>
      <c r="J9" s="75"/>
      <c r="K9" s="386" t="s">
        <v>38</v>
      </c>
      <c r="L9" s="387"/>
      <c r="M9" s="386" t="s">
        <v>37</v>
      </c>
      <c r="N9" s="384"/>
      <c r="O9" s="384"/>
      <c r="P9" s="384"/>
      <c r="Q9" s="74" t="s">
        <v>36</v>
      </c>
      <c r="R9" s="204" t="s">
        <v>70</v>
      </c>
      <c r="S9" s="203" t="s">
        <v>69</v>
      </c>
      <c r="T9" s="220" t="s">
        <v>33</v>
      </c>
      <c r="V9" s="19" t="s">
        <v>32</v>
      </c>
      <c r="W9" s="253" t="s">
        <v>58</v>
      </c>
      <c r="X9" s="69" t="s">
        <v>31</v>
      </c>
      <c r="Y9" s="68" t="s">
        <v>30</v>
      </c>
      <c r="Z9" s="19" t="s">
        <v>29</v>
      </c>
      <c r="AA9" s="253" t="s">
        <v>51</v>
      </c>
      <c r="AB9" s="252" t="s">
        <v>27</v>
      </c>
    </row>
    <row r="10" spans="1:28">
      <c r="A10" s="16"/>
      <c r="B10" s="217"/>
      <c r="C10" s="219">
        <v>1</v>
      </c>
      <c r="D10" s="217">
        <v>2</v>
      </c>
      <c r="E10" s="219">
        <v>1</v>
      </c>
      <c r="F10" s="218">
        <v>2</v>
      </c>
      <c r="G10" s="218">
        <v>3</v>
      </c>
      <c r="H10" s="218">
        <v>4</v>
      </c>
      <c r="I10" s="218">
        <v>5</v>
      </c>
      <c r="J10" s="217">
        <v>6</v>
      </c>
      <c r="K10" s="219">
        <v>1</v>
      </c>
      <c r="L10" s="217">
        <v>2</v>
      </c>
      <c r="M10" s="219">
        <v>1</v>
      </c>
      <c r="N10" s="218">
        <v>2</v>
      </c>
      <c r="O10" s="218">
        <v>3</v>
      </c>
      <c r="P10" s="218">
        <v>4</v>
      </c>
      <c r="Q10" s="217"/>
      <c r="R10" s="216"/>
      <c r="S10" s="215"/>
      <c r="T10" s="251"/>
      <c r="V10" s="35"/>
      <c r="W10" s="35"/>
      <c r="X10" s="52"/>
      <c r="Y10" s="59"/>
      <c r="Z10" s="59"/>
      <c r="AA10" s="35"/>
    </row>
    <row r="11" spans="1:28">
      <c r="A11" s="12"/>
      <c r="B11" s="187"/>
      <c r="C11" s="177"/>
      <c r="D11" s="187"/>
      <c r="E11" s="177"/>
      <c r="F11" s="55"/>
      <c r="G11" s="55"/>
      <c r="H11" s="55"/>
      <c r="I11" s="55"/>
      <c r="J11" s="187"/>
      <c r="K11" s="177"/>
      <c r="L11" s="187"/>
      <c r="M11" s="177"/>
      <c r="N11" s="55"/>
      <c r="O11" s="55"/>
      <c r="P11" s="55"/>
      <c r="Q11" s="187"/>
      <c r="R11" s="37"/>
      <c r="S11" s="53"/>
      <c r="T11" s="54"/>
      <c r="V11" s="35"/>
      <c r="W11" s="35"/>
      <c r="X11" s="52"/>
      <c r="Y11" s="35"/>
      <c r="Z11" s="35"/>
      <c r="AA11" s="35"/>
    </row>
    <row r="12" spans="1:28">
      <c r="A12" s="12">
        <v>1</v>
      </c>
      <c r="B12" s="187"/>
      <c r="C12" s="213">
        <v>204</v>
      </c>
      <c r="D12" s="182">
        <v>204</v>
      </c>
      <c r="E12" s="177">
        <v>0.87</v>
      </c>
      <c r="F12" s="55">
        <v>0.86</v>
      </c>
      <c r="G12" s="55">
        <v>0.87</v>
      </c>
      <c r="H12" s="55">
        <v>0.89</v>
      </c>
      <c r="I12" s="55">
        <v>0.89</v>
      </c>
      <c r="J12" s="187">
        <v>0.89</v>
      </c>
      <c r="K12" s="166">
        <v>26.41</v>
      </c>
      <c r="L12" s="165">
        <v>25.89</v>
      </c>
      <c r="M12" s="238"/>
      <c r="N12" s="237"/>
      <c r="O12" s="237"/>
      <c r="P12" s="231"/>
      <c r="Q12" s="230"/>
      <c r="R12" s="37">
        <v>63</v>
      </c>
      <c r="S12" s="36">
        <f t="shared" ref="S12:S48" si="0">R12/(AVERAGE(C12:D12)*AVERAGE(E12:J12)*AVERAGE(K12:L12)*0.001)</f>
        <v>13.445573279761616</v>
      </c>
      <c r="T12" s="54">
        <v>3</v>
      </c>
      <c r="V12" s="35">
        <v>1</v>
      </c>
      <c r="W12" s="35">
        <f t="shared" ref="W12:W48" si="1">MAX(E12:J12)-MIN(E12:J12)</f>
        <v>3.0000000000000027E-2</v>
      </c>
      <c r="X12" s="35">
        <f t="shared" ref="X12:X48" si="2">IF(OR(ABS(E12-$C$6)&gt;($C$6*0.1),ABS(F12-$C$6)&gt;($C$6*0.1),ABS(G12-$C$6)&gt;($C$6*0.1),ABS(H12-$C$6)&gt;($C$6*0.1),ABS(I12-$C$6)&gt;($C$6*0.1),ABS(J12-$C$6)&gt;($C$6*0.1)),1,0)</f>
        <v>0</v>
      </c>
      <c r="Y12" s="35">
        <v>0</v>
      </c>
      <c r="Z12" s="34">
        <v>0</v>
      </c>
      <c r="AA12" s="35">
        <f t="shared" ref="AA12:AA48" si="3">IF(OR(M12="Y",N12="Y",O12="Y",P12="Y"),1,0)</f>
        <v>0</v>
      </c>
    </row>
    <row r="13" spans="1:28">
      <c r="A13" s="12">
        <f t="shared" ref="A13:A48" si="4">A12+1</f>
        <v>2</v>
      </c>
      <c r="B13" s="187"/>
      <c r="C13" s="213">
        <v>204</v>
      </c>
      <c r="D13" s="182">
        <v>204</v>
      </c>
      <c r="E13" s="122">
        <v>0.89</v>
      </c>
      <c r="F13" s="47">
        <v>0.89</v>
      </c>
      <c r="G13" s="47">
        <v>0.89</v>
      </c>
      <c r="H13" s="47">
        <v>0.89</v>
      </c>
      <c r="I13" s="47">
        <v>0.89</v>
      </c>
      <c r="J13" s="121">
        <v>0.89</v>
      </c>
      <c r="K13" s="166">
        <v>25.99</v>
      </c>
      <c r="L13" s="165">
        <v>25.53</v>
      </c>
      <c r="M13" s="238"/>
      <c r="N13" s="237"/>
      <c r="O13" s="237"/>
      <c r="P13" s="231"/>
      <c r="Q13" s="230"/>
      <c r="R13" s="37">
        <v>64.099999999999994</v>
      </c>
      <c r="S13" s="36">
        <f t="shared" si="0"/>
        <v>13.705408885586476</v>
      </c>
      <c r="T13" s="54">
        <v>3</v>
      </c>
      <c r="V13" s="35">
        <f t="shared" ref="V13:V48" si="5">V12+1</f>
        <v>2</v>
      </c>
      <c r="W13" s="35">
        <f t="shared" si="1"/>
        <v>0</v>
      </c>
      <c r="X13" s="35">
        <f t="shared" si="2"/>
        <v>0</v>
      </c>
      <c r="Y13" s="35">
        <v>0</v>
      </c>
      <c r="Z13" s="34">
        <v>0</v>
      </c>
      <c r="AA13" s="35">
        <f t="shared" si="3"/>
        <v>0</v>
      </c>
    </row>
    <row r="14" spans="1:28">
      <c r="A14" s="12">
        <f t="shared" si="4"/>
        <v>3</v>
      </c>
      <c r="B14" s="187"/>
      <c r="C14" s="213">
        <v>204</v>
      </c>
      <c r="D14" s="182">
        <v>204</v>
      </c>
      <c r="E14" s="122">
        <v>0.89</v>
      </c>
      <c r="F14" s="47">
        <v>0.9</v>
      </c>
      <c r="G14" s="47">
        <v>0.88</v>
      </c>
      <c r="H14" s="47">
        <v>0.9</v>
      </c>
      <c r="I14" s="47">
        <v>0.88</v>
      </c>
      <c r="J14" s="121">
        <v>0.9</v>
      </c>
      <c r="K14" s="166">
        <v>26.01</v>
      </c>
      <c r="L14" s="165">
        <v>25.7</v>
      </c>
      <c r="M14" s="238"/>
      <c r="N14" s="237"/>
      <c r="O14" s="237"/>
      <c r="P14" s="231"/>
      <c r="Q14" s="230"/>
      <c r="R14" s="37">
        <v>65.3</v>
      </c>
      <c r="S14" s="36">
        <f t="shared" si="0"/>
        <v>13.884682080648313</v>
      </c>
      <c r="T14" s="54">
        <v>3</v>
      </c>
      <c r="V14" s="35">
        <f t="shared" si="5"/>
        <v>3</v>
      </c>
      <c r="W14" s="35">
        <f t="shared" si="1"/>
        <v>2.0000000000000018E-2</v>
      </c>
      <c r="X14" s="35">
        <f t="shared" si="2"/>
        <v>0</v>
      </c>
      <c r="Y14" s="35">
        <v>0</v>
      </c>
      <c r="Z14" s="34">
        <v>0</v>
      </c>
      <c r="AA14" s="35">
        <f t="shared" si="3"/>
        <v>0</v>
      </c>
    </row>
    <row r="15" spans="1:28">
      <c r="A15" s="12">
        <f t="shared" si="4"/>
        <v>4</v>
      </c>
      <c r="B15" s="187"/>
      <c r="C15" s="213">
        <v>204</v>
      </c>
      <c r="D15" s="182">
        <v>204</v>
      </c>
      <c r="E15" s="122">
        <v>0.88</v>
      </c>
      <c r="F15" s="47">
        <v>0.85</v>
      </c>
      <c r="G15" s="47">
        <v>0.88</v>
      </c>
      <c r="H15" s="47">
        <v>0.86</v>
      </c>
      <c r="I15" s="47">
        <v>0.87</v>
      </c>
      <c r="J15" s="121">
        <v>0.85</v>
      </c>
      <c r="K15" s="166">
        <v>25.92</v>
      </c>
      <c r="L15" s="165">
        <v>25.59</v>
      </c>
      <c r="M15" s="238"/>
      <c r="N15" s="237"/>
      <c r="O15" s="237"/>
      <c r="P15" s="231"/>
      <c r="Q15" s="230"/>
      <c r="R15" s="37">
        <v>62.5</v>
      </c>
      <c r="S15" s="36">
        <f t="shared" si="0"/>
        <v>13.752200269529924</v>
      </c>
      <c r="T15" s="54">
        <v>3</v>
      </c>
      <c r="V15" s="35">
        <f t="shared" si="5"/>
        <v>4</v>
      </c>
      <c r="W15" s="35">
        <f t="shared" si="1"/>
        <v>3.0000000000000027E-2</v>
      </c>
      <c r="X15" s="35">
        <f t="shared" si="2"/>
        <v>0</v>
      </c>
      <c r="Y15" s="35">
        <v>0</v>
      </c>
      <c r="Z15" s="34">
        <v>0</v>
      </c>
      <c r="AA15" s="35">
        <f t="shared" si="3"/>
        <v>0</v>
      </c>
    </row>
    <row r="16" spans="1:28" ht="28">
      <c r="A16" s="12">
        <f t="shared" si="4"/>
        <v>5</v>
      </c>
      <c r="B16" s="187" t="s">
        <v>85</v>
      </c>
      <c r="C16" s="213">
        <v>204</v>
      </c>
      <c r="D16" s="182">
        <v>204</v>
      </c>
      <c r="E16" s="122">
        <v>0.89</v>
      </c>
      <c r="F16" s="47">
        <v>0.89</v>
      </c>
      <c r="G16" s="47">
        <v>0.89</v>
      </c>
      <c r="H16" s="47">
        <v>0.9</v>
      </c>
      <c r="I16" s="47">
        <v>0.9</v>
      </c>
      <c r="J16" s="121">
        <v>0.91</v>
      </c>
      <c r="K16" s="166">
        <v>25.94</v>
      </c>
      <c r="L16" s="165">
        <v>26.02</v>
      </c>
      <c r="M16" s="238"/>
      <c r="N16" s="237"/>
      <c r="O16" s="237"/>
      <c r="P16" s="231"/>
      <c r="Q16" s="230"/>
      <c r="R16" s="37">
        <v>63.9</v>
      </c>
      <c r="S16" s="36">
        <f t="shared" si="0"/>
        <v>13.44622947524606</v>
      </c>
      <c r="T16" s="54">
        <v>3</v>
      </c>
      <c r="V16" s="35">
        <f t="shared" si="5"/>
        <v>5</v>
      </c>
      <c r="W16" s="35">
        <f t="shared" si="1"/>
        <v>2.0000000000000018E-2</v>
      </c>
      <c r="X16" s="35">
        <f t="shared" si="2"/>
        <v>0</v>
      </c>
      <c r="Y16" s="35">
        <v>0</v>
      </c>
      <c r="Z16" s="34">
        <v>0</v>
      </c>
      <c r="AA16" s="35">
        <f t="shared" si="3"/>
        <v>0</v>
      </c>
    </row>
    <row r="17" spans="1:28">
      <c r="A17" s="12">
        <f t="shared" si="4"/>
        <v>6</v>
      </c>
      <c r="B17" s="187"/>
      <c r="C17" s="213">
        <v>204</v>
      </c>
      <c r="D17" s="182">
        <v>204</v>
      </c>
      <c r="E17" s="122">
        <v>0.91</v>
      </c>
      <c r="F17" s="47">
        <v>0.9</v>
      </c>
      <c r="G17" s="47">
        <v>0.91</v>
      </c>
      <c r="H17" s="47">
        <v>0.91</v>
      </c>
      <c r="I17" s="47">
        <v>0.91</v>
      </c>
      <c r="J17" s="121">
        <v>0.91</v>
      </c>
      <c r="K17" s="166">
        <v>25.83</v>
      </c>
      <c r="L17" s="165">
        <v>25.9</v>
      </c>
      <c r="M17" s="238"/>
      <c r="N17" s="237"/>
      <c r="O17" s="237"/>
      <c r="P17" s="231"/>
      <c r="Q17" s="230"/>
      <c r="R17" s="37">
        <v>65.599999999999994</v>
      </c>
      <c r="S17" s="36">
        <f t="shared" si="0"/>
        <v>13.687241727642876</v>
      </c>
      <c r="T17" s="54">
        <v>3</v>
      </c>
      <c r="V17" s="35">
        <f t="shared" si="5"/>
        <v>6</v>
      </c>
      <c r="W17" s="35">
        <f t="shared" si="1"/>
        <v>1.0000000000000009E-2</v>
      </c>
      <c r="X17" s="35">
        <f t="shared" si="2"/>
        <v>0</v>
      </c>
      <c r="Y17" s="35">
        <v>0</v>
      </c>
      <c r="Z17" s="34">
        <v>0</v>
      </c>
      <c r="AA17" s="35">
        <f t="shared" si="3"/>
        <v>0</v>
      </c>
    </row>
    <row r="18" spans="1:28">
      <c r="A18" s="12">
        <f t="shared" si="4"/>
        <v>7</v>
      </c>
      <c r="B18" s="187"/>
      <c r="C18" s="213">
        <v>204</v>
      </c>
      <c r="D18" s="182">
        <v>204</v>
      </c>
      <c r="E18" s="122">
        <v>0.88</v>
      </c>
      <c r="F18" s="47">
        <v>0.88</v>
      </c>
      <c r="G18" s="47">
        <v>0.88</v>
      </c>
      <c r="H18" s="47">
        <v>0.88</v>
      </c>
      <c r="I18" s="47">
        <v>0.89</v>
      </c>
      <c r="J18" s="121">
        <v>0.89</v>
      </c>
      <c r="K18" s="166">
        <v>26.02</v>
      </c>
      <c r="L18" s="165">
        <v>26.05</v>
      </c>
      <c r="M18" s="238"/>
      <c r="N18" s="237"/>
      <c r="O18" s="237"/>
      <c r="P18" s="231"/>
      <c r="Q18" s="230"/>
      <c r="R18" s="37">
        <v>64.599999999999994</v>
      </c>
      <c r="S18" s="36">
        <f t="shared" si="0"/>
        <v>13.769562743911498</v>
      </c>
      <c r="T18" s="54">
        <v>3</v>
      </c>
      <c r="V18" s="35">
        <f t="shared" si="5"/>
        <v>7</v>
      </c>
      <c r="W18" s="35">
        <f t="shared" si="1"/>
        <v>1.0000000000000009E-2</v>
      </c>
      <c r="X18" s="35">
        <f t="shared" si="2"/>
        <v>0</v>
      </c>
      <c r="Y18" s="35">
        <v>0</v>
      </c>
      <c r="Z18" s="34">
        <v>0</v>
      </c>
      <c r="AA18" s="35">
        <f t="shared" si="3"/>
        <v>0</v>
      </c>
    </row>
    <row r="19" spans="1:28">
      <c r="A19" s="12">
        <f t="shared" si="4"/>
        <v>8</v>
      </c>
      <c r="B19" s="187"/>
      <c r="C19" s="213">
        <v>204</v>
      </c>
      <c r="D19" s="182">
        <v>204</v>
      </c>
      <c r="E19" s="122">
        <v>0.91</v>
      </c>
      <c r="F19" s="47">
        <v>0.91</v>
      </c>
      <c r="G19" s="47">
        <v>0.9</v>
      </c>
      <c r="H19" s="47">
        <v>0.91</v>
      </c>
      <c r="I19" s="47">
        <v>0.9</v>
      </c>
      <c r="J19" s="121">
        <v>0.91</v>
      </c>
      <c r="K19" s="166">
        <v>25.98</v>
      </c>
      <c r="L19" s="165">
        <v>25.48</v>
      </c>
      <c r="M19" s="238"/>
      <c r="N19" s="237"/>
      <c r="O19" s="237"/>
      <c r="P19" s="231"/>
      <c r="Q19" s="236" t="s">
        <v>19</v>
      </c>
      <c r="R19" s="37">
        <v>66.2</v>
      </c>
      <c r="S19" s="36">
        <f t="shared" si="0"/>
        <v>13.9104245982703</v>
      </c>
      <c r="T19" s="54">
        <v>3</v>
      </c>
      <c r="V19" s="35">
        <f t="shared" si="5"/>
        <v>8</v>
      </c>
      <c r="W19" s="35">
        <f t="shared" si="1"/>
        <v>1.0000000000000009E-2</v>
      </c>
      <c r="X19" s="35">
        <f t="shared" si="2"/>
        <v>0</v>
      </c>
      <c r="Y19" s="35">
        <v>0</v>
      </c>
      <c r="Z19" s="34">
        <v>0</v>
      </c>
      <c r="AA19" s="35">
        <f t="shared" si="3"/>
        <v>0</v>
      </c>
    </row>
    <row r="20" spans="1:28">
      <c r="A20" s="12">
        <f t="shared" si="4"/>
        <v>9</v>
      </c>
      <c r="B20" s="187"/>
      <c r="C20" s="213">
        <v>204</v>
      </c>
      <c r="D20" s="182">
        <v>204</v>
      </c>
      <c r="E20" s="122">
        <v>0.93</v>
      </c>
      <c r="F20" s="47">
        <v>0.92</v>
      </c>
      <c r="G20" s="47">
        <v>0.92</v>
      </c>
      <c r="H20" s="47">
        <v>0.91</v>
      </c>
      <c r="I20" s="47">
        <v>0.91</v>
      </c>
      <c r="J20" s="121">
        <v>0.91</v>
      </c>
      <c r="K20" s="166">
        <v>26.05</v>
      </c>
      <c r="L20" s="165">
        <v>25.84</v>
      </c>
      <c r="M20" s="238"/>
      <c r="N20" s="237"/>
      <c r="O20" s="237"/>
      <c r="P20" s="231"/>
      <c r="Q20" s="230"/>
      <c r="R20" s="37">
        <v>65.8</v>
      </c>
      <c r="S20" s="36">
        <f t="shared" si="0"/>
        <v>13.562214598343058</v>
      </c>
      <c r="T20" s="54">
        <v>3</v>
      </c>
      <c r="V20" s="35">
        <f t="shared" si="5"/>
        <v>9</v>
      </c>
      <c r="W20" s="35">
        <f t="shared" si="1"/>
        <v>2.0000000000000018E-2</v>
      </c>
      <c r="X20" s="35">
        <f t="shared" si="2"/>
        <v>0</v>
      </c>
      <c r="Y20" s="35">
        <v>0</v>
      </c>
      <c r="Z20" s="34">
        <v>0</v>
      </c>
      <c r="AA20" s="35">
        <f t="shared" si="3"/>
        <v>0</v>
      </c>
    </row>
    <row r="21" spans="1:28">
      <c r="A21" s="12">
        <f t="shared" si="4"/>
        <v>10</v>
      </c>
      <c r="B21" s="187"/>
      <c r="C21" s="213">
        <v>204</v>
      </c>
      <c r="D21" s="182">
        <v>204</v>
      </c>
      <c r="E21" s="122">
        <v>0.89</v>
      </c>
      <c r="F21" s="47">
        <v>0.89</v>
      </c>
      <c r="G21" s="47">
        <v>0.89</v>
      </c>
      <c r="H21" s="47">
        <v>0.89</v>
      </c>
      <c r="I21" s="47">
        <v>0.89</v>
      </c>
      <c r="J21" s="121">
        <v>0.89</v>
      </c>
      <c r="K21" s="166">
        <v>25.87</v>
      </c>
      <c r="L21" s="165">
        <v>25.93</v>
      </c>
      <c r="M21" s="238"/>
      <c r="N21" s="237"/>
      <c r="O21" s="237"/>
      <c r="P21" s="231"/>
      <c r="Q21" s="236" t="s">
        <v>21</v>
      </c>
      <c r="R21" s="37">
        <v>63.1</v>
      </c>
      <c r="S21" s="36">
        <f t="shared" si="0"/>
        <v>13.418668408754332</v>
      </c>
      <c r="T21" s="54">
        <v>3</v>
      </c>
      <c r="V21" s="35">
        <f t="shared" si="5"/>
        <v>10</v>
      </c>
      <c r="W21" s="35">
        <f t="shared" si="1"/>
        <v>0</v>
      </c>
      <c r="X21" s="35">
        <f t="shared" si="2"/>
        <v>0</v>
      </c>
      <c r="Y21" s="35">
        <v>0</v>
      </c>
      <c r="Z21" s="34">
        <v>0</v>
      </c>
      <c r="AA21" s="35">
        <f t="shared" si="3"/>
        <v>0</v>
      </c>
    </row>
    <row r="22" spans="1:28" ht="28">
      <c r="A22" s="44">
        <f t="shared" si="4"/>
        <v>11</v>
      </c>
      <c r="B22" s="187"/>
      <c r="C22" s="213">
        <v>204</v>
      </c>
      <c r="D22" s="182">
        <v>204</v>
      </c>
      <c r="E22" s="122">
        <v>0.9</v>
      </c>
      <c r="F22" s="47">
        <v>0.92</v>
      </c>
      <c r="G22" s="47">
        <v>0.9</v>
      </c>
      <c r="H22" s="47">
        <v>0.91</v>
      </c>
      <c r="I22" s="47">
        <v>0.91</v>
      </c>
      <c r="J22" s="121">
        <v>0.91</v>
      </c>
      <c r="K22" s="166">
        <v>25.87</v>
      </c>
      <c r="L22" s="165">
        <v>25.94</v>
      </c>
      <c r="M22" s="238"/>
      <c r="N22" s="237"/>
      <c r="O22" s="237"/>
      <c r="P22" s="231"/>
      <c r="Q22" s="230" t="s">
        <v>23</v>
      </c>
      <c r="R22" s="37">
        <v>66.099999999999994</v>
      </c>
      <c r="S22" s="36">
        <f t="shared" si="0"/>
        <v>13.77026961292105</v>
      </c>
      <c r="T22" s="54">
        <v>3</v>
      </c>
      <c r="V22" s="172">
        <f t="shared" si="5"/>
        <v>11</v>
      </c>
      <c r="W22" s="35">
        <f t="shared" si="1"/>
        <v>2.0000000000000018E-2</v>
      </c>
      <c r="X22" s="35">
        <f t="shared" si="2"/>
        <v>0</v>
      </c>
      <c r="Y22" s="35">
        <v>0</v>
      </c>
      <c r="Z22" s="34">
        <v>0</v>
      </c>
      <c r="AA22" s="35">
        <f t="shared" si="3"/>
        <v>0</v>
      </c>
      <c r="AB22" t="s">
        <v>84</v>
      </c>
    </row>
    <row r="23" spans="1:28" ht="28">
      <c r="A23" s="12">
        <f t="shared" si="4"/>
        <v>12</v>
      </c>
      <c r="B23" s="187" t="s">
        <v>83</v>
      </c>
      <c r="C23" s="213">
        <v>204</v>
      </c>
      <c r="D23" s="182">
        <v>204</v>
      </c>
      <c r="E23" s="122">
        <v>0.86</v>
      </c>
      <c r="F23" s="47">
        <v>0.87</v>
      </c>
      <c r="G23" s="47">
        <v>0.87</v>
      </c>
      <c r="H23" s="47">
        <v>0.88</v>
      </c>
      <c r="I23" s="47">
        <v>0.87</v>
      </c>
      <c r="J23" s="121">
        <v>0.89</v>
      </c>
      <c r="K23" s="166">
        <v>25.7</v>
      </c>
      <c r="L23" s="165">
        <v>25.89</v>
      </c>
      <c r="M23" s="238"/>
      <c r="N23" s="237"/>
      <c r="O23" s="237"/>
      <c r="P23" s="231"/>
      <c r="Q23" s="230"/>
      <c r="R23" s="37">
        <v>63.9</v>
      </c>
      <c r="S23" s="36">
        <f t="shared" si="0"/>
        <v>13.90449185153258</v>
      </c>
      <c r="T23" s="54">
        <v>3</v>
      </c>
      <c r="V23" s="35">
        <f t="shared" si="5"/>
        <v>12</v>
      </c>
      <c r="W23" s="35">
        <f t="shared" si="1"/>
        <v>3.0000000000000027E-2</v>
      </c>
      <c r="X23" s="35">
        <f t="shared" si="2"/>
        <v>0</v>
      </c>
      <c r="Y23" s="35">
        <v>0</v>
      </c>
      <c r="Z23" s="34">
        <v>0</v>
      </c>
      <c r="AA23" s="35">
        <f t="shared" si="3"/>
        <v>0</v>
      </c>
    </row>
    <row r="24" spans="1:28">
      <c r="A24" s="12">
        <f t="shared" si="4"/>
        <v>13</v>
      </c>
      <c r="B24" s="187"/>
      <c r="C24" s="213">
        <v>204</v>
      </c>
      <c r="D24" s="182">
        <v>204</v>
      </c>
      <c r="E24" s="122">
        <v>0.88</v>
      </c>
      <c r="F24" s="47">
        <v>0.87</v>
      </c>
      <c r="G24" s="47">
        <v>0.88</v>
      </c>
      <c r="H24" s="47">
        <v>0.88</v>
      </c>
      <c r="I24" s="47">
        <v>0.89</v>
      </c>
      <c r="J24" s="121">
        <v>0.88</v>
      </c>
      <c r="K24" s="166">
        <v>26.07</v>
      </c>
      <c r="L24" s="165">
        <v>26.05</v>
      </c>
      <c r="M24" s="238"/>
      <c r="N24" s="237"/>
      <c r="O24" s="237"/>
      <c r="P24" s="231"/>
      <c r="Q24" s="230"/>
      <c r="R24" s="37">
        <v>64.099999999999994</v>
      </c>
      <c r="S24" s="36">
        <f t="shared" si="0"/>
        <v>13.701584031365982</v>
      </c>
      <c r="T24" s="54">
        <v>3</v>
      </c>
      <c r="V24" s="35">
        <f t="shared" si="5"/>
        <v>13</v>
      </c>
      <c r="W24" s="35">
        <f t="shared" si="1"/>
        <v>2.0000000000000018E-2</v>
      </c>
      <c r="X24" s="35">
        <f t="shared" si="2"/>
        <v>0</v>
      </c>
      <c r="Y24" s="35">
        <v>0</v>
      </c>
      <c r="Z24" s="34">
        <v>0</v>
      </c>
      <c r="AA24" s="35">
        <f t="shared" si="3"/>
        <v>0</v>
      </c>
    </row>
    <row r="25" spans="1:28">
      <c r="A25" s="12">
        <f t="shared" si="4"/>
        <v>14</v>
      </c>
      <c r="B25" s="187"/>
      <c r="C25" s="213">
        <v>204</v>
      </c>
      <c r="D25" s="182">
        <v>204</v>
      </c>
      <c r="E25" s="122">
        <v>0.88</v>
      </c>
      <c r="F25" s="47">
        <v>0.89</v>
      </c>
      <c r="G25" s="47">
        <v>0.88</v>
      </c>
      <c r="H25" s="47">
        <v>0.89</v>
      </c>
      <c r="I25" s="47">
        <v>0.88</v>
      </c>
      <c r="J25" s="121">
        <v>0.89</v>
      </c>
      <c r="K25" s="166">
        <v>25.61</v>
      </c>
      <c r="L25" s="165">
        <v>25.96</v>
      </c>
      <c r="M25" s="238"/>
      <c r="N25" s="237"/>
      <c r="O25" s="237"/>
      <c r="P25" s="231"/>
      <c r="Q25" s="230"/>
      <c r="R25" s="37">
        <v>64.400000000000006</v>
      </c>
      <c r="S25" s="36">
        <f t="shared" si="0"/>
        <v>13.83392107090703</v>
      </c>
      <c r="T25" s="54">
        <v>3</v>
      </c>
      <c r="V25" s="35">
        <f t="shared" si="5"/>
        <v>14</v>
      </c>
      <c r="W25" s="35">
        <f t="shared" si="1"/>
        <v>1.0000000000000009E-2</v>
      </c>
      <c r="X25" s="35">
        <f t="shared" si="2"/>
        <v>0</v>
      </c>
      <c r="Y25" s="35">
        <v>0</v>
      </c>
      <c r="Z25" s="34">
        <v>0</v>
      </c>
      <c r="AA25" s="35">
        <f t="shared" si="3"/>
        <v>0</v>
      </c>
    </row>
    <row r="26" spans="1:28">
      <c r="A26" s="12">
        <f t="shared" si="4"/>
        <v>15</v>
      </c>
      <c r="B26" s="187"/>
      <c r="C26" s="213">
        <v>204</v>
      </c>
      <c r="D26" s="182">
        <v>204</v>
      </c>
      <c r="E26" s="122">
        <v>0.88</v>
      </c>
      <c r="F26" s="47">
        <v>0.9</v>
      </c>
      <c r="G26" s="47">
        <v>0.89</v>
      </c>
      <c r="H26" s="47">
        <v>0.9</v>
      </c>
      <c r="I26" s="47">
        <v>0.89</v>
      </c>
      <c r="J26" s="121">
        <v>0.91</v>
      </c>
      <c r="K26" s="166">
        <v>25.96</v>
      </c>
      <c r="L26" s="165">
        <v>26</v>
      </c>
      <c r="M26" s="238"/>
      <c r="N26" s="237"/>
      <c r="O26" s="237"/>
      <c r="P26" s="231"/>
      <c r="Q26" s="236" t="s">
        <v>21</v>
      </c>
      <c r="R26" s="37">
        <v>65.900000000000006</v>
      </c>
      <c r="S26" s="36">
        <f t="shared" si="0"/>
        <v>13.89290497143374</v>
      </c>
      <c r="T26" s="54">
        <v>3</v>
      </c>
      <c r="V26" s="35">
        <f t="shared" si="5"/>
        <v>15</v>
      </c>
      <c r="W26" s="35">
        <f t="shared" si="1"/>
        <v>3.0000000000000027E-2</v>
      </c>
      <c r="X26" s="35">
        <f t="shared" si="2"/>
        <v>0</v>
      </c>
      <c r="Y26" s="35">
        <v>0</v>
      </c>
      <c r="Z26" s="34">
        <v>0</v>
      </c>
      <c r="AA26" s="35">
        <f t="shared" si="3"/>
        <v>0</v>
      </c>
    </row>
    <row r="27" spans="1:28">
      <c r="A27" s="12">
        <f t="shared" si="4"/>
        <v>16</v>
      </c>
      <c r="B27" s="187"/>
      <c r="C27" s="213">
        <v>204</v>
      </c>
      <c r="D27" s="182">
        <v>204</v>
      </c>
      <c r="E27" s="122">
        <v>0.86</v>
      </c>
      <c r="F27" s="47">
        <v>0.87</v>
      </c>
      <c r="G27" s="47">
        <v>0.87</v>
      </c>
      <c r="H27" s="47">
        <v>0.87</v>
      </c>
      <c r="I27" s="47">
        <v>0.86</v>
      </c>
      <c r="J27" s="121">
        <v>0.87</v>
      </c>
      <c r="K27" s="166">
        <v>25.77</v>
      </c>
      <c r="L27" s="165">
        <v>25.77</v>
      </c>
      <c r="M27" s="238"/>
      <c r="N27" s="237"/>
      <c r="O27" s="237"/>
      <c r="P27" s="231"/>
      <c r="Q27" s="236" t="s">
        <v>21</v>
      </c>
      <c r="R27" s="37">
        <v>62.3</v>
      </c>
      <c r="S27" s="36">
        <f t="shared" si="0"/>
        <v>13.673867505272009</v>
      </c>
      <c r="T27" s="54">
        <v>3</v>
      </c>
      <c r="V27" s="35">
        <f t="shared" si="5"/>
        <v>16</v>
      </c>
      <c r="W27" s="35">
        <f t="shared" si="1"/>
        <v>1.0000000000000009E-2</v>
      </c>
      <c r="X27" s="35">
        <f t="shared" si="2"/>
        <v>0</v>
      </c>
      <c r="Y27" s="35">
        <v>0</v>
      </c>
      <c r="Z27" s="34">
        <v>0</v>
      </c>
      <c r="AA27" s="35">
        <f t="shared" si="3"/>
        <v>0</v>
      </c>
    </row>
    <row r="28" spans="1:28">
      <c r="A28" s="12">
        <f t="shared" si="4"/>
        <v>17</v>
      </c>
      <c r="B28" s="187"/>
      <c r="C28" s="213">
        <v>204</v>
      </c>
      <c r="D28" s="182">
        <v>204</v>
      </c>
      <c r="E28" s="122">
        <v>0.89</v>
      </c>
      <c r="F28" s="47">
        <v>0.89</v>
      </c>
      <c r="G28" s="47">
        <v>0.89</v>
      </c>
      <c r="H28" s="47">
        <v>0.89</v>
      </c>
      <c r="I28" s="47">
        <v>0.89</v>
      </c>
      <c r="J28" s="121">
        <v>0.89</v>
      </c>
      <c r="K28" s="166">
        <v>25.93</v>
      </c>
      <c r="L28" s="165">
        <v>25.72</v>
      </c>
      <c r="M28" s="238"/>
      <c r="N28" s="237"/>
      <c r="O28" s="237"/>
      <c r="P28" s="231"/>
      <c r="Q28" s="236" t="s">
        <v>21</v>
      </c>
      <c r="R28" s="37">
        <v>63.9</v>
      </c>
      <c r="S28" s="36">
        <f t="shared" si="0"/>
        <v>13.628258225421627</v>
      </c>
      <c r="T28" s="54">
        <v>3</v>
      </c>
      <c r="V28" s="35">
        <f t="shared" si="5"/>
        <v>17</v>
      </c>
      <c r="W28" s="35">
        <f t="shared" si="1"/>
        <v>0</v>
      </c>
      <c r="X28" s="35">
        <f t="shared" si="2"/>
        <v>0</v>
      </c>
      <c r="Y28" s="35">
        <v>0</v>
      </c>
      <c r="Z28" s="34">
        <v>0</v>
      </c>
      <c r="AA28" s="35">
        <f t="shared" si="3"/>
        <v>0</v>
      </c>
    </row>
    <row r="29" spans="1:28">
      <c r="A29" s="12">
        <f t="shared" si="4"/>
        <v>18</v>
      </c>
      <c r="B29" s="187"/>
      <c r="C29" s="213">
        <v>204</v>
      </c>
      <c r="D29" s="182">
        <v>204</v>
      </c>
      <c r="E29" s="122">
        <v>0.89</v>
      </c>
      <c r="F29" s="47">
        <v>0.88</v>
      </c>
      <c r="G29" s="47">
        <v>0.89</v>
      </c>
      <c r="H29" s="47">
        <v>0.88</v>
      </c>
      <c r="I29" s="47">
        <v>0.88</v>
      </c>
      <c r="J29" s="121">
        <v>0.88</v>
      </c>
      <c r="K29" s="166">
        <v>25.94</v>
      </c>
      <c r="L29" s="165">
        <v>25.59</v>
      </c>
      <c r="M29" s="233"/>
      <c r="N29" s="232"/>
      <c r="O29" s="232"/>
      <c r="P29" s="231"/>
      <c r="Q29" s="230"/>
      <c r="R29" s="37">
        <v>64.8</v>
      </c>
      <c r="S29" s="36">
        <f t="shared" si="0"/>
        <v>13.95693553080401</v>
      </c>
      <c r="T29" s="54">
        <v>3</v>
      </c>
      <c r="V29" s="35">
        <f t="shared" si="5"/>
        <v>18</v>
      </c>
      <c r="W29" s="35">
        <f t="shared" si="1"/>
        <v>1.0000000000000009E-2</v>
      </c>
      <c r="X29" s="35">
        <f t="shared" si="2"/>
        <v>0</v>
      </c>
      <c r="Y29" s="35">
        <v>0</v>
      </c>
      <c r="Z29" s="34">
        <v>0</v>
      </c>
      <c r="AA29" s="35">
        <f t="shared" si="3"/>
        <v>0</v>
      </c>
    </row>
    <row r="30" spans="1:28">
      <c r="A30" s="12">
        <f t="shared" si="4"/>
        <v>19</v>
      </c>
      <c r="B30" s="187"/>
      <c r="C30" s="213">
        <v>204</v>
      </c>
      <c r="D30" s="182">
        <v>204</v>
      </c>
      <c r="E30" s="122">
        <v>0.9</v>
      </c>
      <c r="F30" s="47">
        <v>0.88</v>
      </c>
      <c r="G30" s="47">
        <v>0.88</v>
      </c>
      <c r="H30" s="47">
        <v>0.88</v>
      </c>
      <c r="I30" s="47">
        <v>0.88</v>
      </c>
      <c r="J30" s="121">
        <v>0.88</v>
      </c>
      <c r="K30" s="166">
        <v>25.98</v>
      </c>
      <c r="L30" s="165">
        <v>25.93</v>
      </c>
      <c r="M30" s="233"/>
      <c r="N30" s="232"/>
      <c r="O30" s="232"/>
      <c r="P30" s="231"/>
      <c r="Q30" s="236" t="s">
        <v>21</v>
      </c>
      <c r="R30" s="37">
        <v>63.9</v>
      </c>
      <c r="S30" s="36">
        <f t="shared" si="0"/>
        <v>13.662338406500965</v>
      </c>
      <c r="T30" s="54">
        <v>3</v>
      </c>
      <c r="V30" s="35">
        <f t="shared" si="5"/>
        <v>19</v>
      </c>
      <c r="W30" s="35">
        <f t="shared" si="1"/>
        <v>2.0000000000000018E-2</v>
      </c>
      <c r="X30" s="35">
        <f t="shared" si="2"/>
        <v>0</v>
      </c>
      <c r="Y30" s="35">
        <v>0</v>
      </c>
      <c r="Z30" s="34">
        <v>0</v>
      </c>
      <c r="AA30" s="35">
        <f t="shared" si="3"/>
        <v>0</v>
      </c>
    </row>
    <row r="31" spans="1:28">
      <c r="A31" s="12">
        <f t="shared" si="4"/>
        <v>20</v>
      </c>
      <c r="B31" s="54"/>
      <c r="C31" s="213">
        <v>204</v>
      </c>
      <c r="D31" s="182">
        <v>204</v>
      </c>
      <c r="E31" s="118">
        <v>0.91</v>
      </c>
      <c r="F31" s="42">
        <v>0.91</v>
      </c>
      <c r="G31" s="42">
        <v>0.91</v>
      </c>
      <c r="H31" s="42">
        <v>0.91</v>
      </c>
      <c r="I31" s="42">
        <v>0.9</v>
      </c>
      <c r="J31" s="212">
        <v>0.91</v>
      </c>
      <c r="K31" s="166">
        <v>26.05</v>
      </c>
      <c r="L31" s="165">
        <v>26</v>
      </c>
      <c r="M31" s="233"/>
      <c r="N31" s="232"/>
      <c r="O31" s="232"/>
      <c r="P31" s="231"/>
      <c r="Q31" s="230"/>
      <c r="R31" s="37">
        <v>66.8</v>
      </c>
      <c r="S31" s="36">
        <f t="shared" si="0"/>
        <v>13.851930535056738</v>
      </c>
      <c r="T31" s="54">
        <v>3</v>
      </c>
      <c r="V31" s="35">
        <f t="shared" si="5"/>
        <v>20</v>
      </c>
      <c r="W31" s="35">
        <f t="shared" si="1"/>
        <v>1.0000000000000009E-2</v>
      </c>
      <c r="X31" s="35">
        <f t="shared" si="2"/>
        <v>0</v>
      </c>
      <c r="Y31" s="35">
        <v>0</v>
      </c>
      <c r="Z31" s="34">
        <v>0</v>
      </c>
      <c r="AA31" s="35">
        <f t="shared" si="3"/>
        <v>0</v>
      </c>
    </row>
    <row r="32" spans="1:28">
      <c r="A32" s="12">
        <f t="shared" si="4"/>
        <v>21</v>
      </c>
      <c r="B32" s="54"/>
      <c r="C32" s="213">
        <v>204</v>
      </c>
      <c r="D32" s="182">
        <v>204</v>
      </c>
      <c r="E32" s="118">
        <v>0.88</v>
      </c>
      <c r="F32" s="42">
        <v>0.9</v>
      </c>
      <c r="G32" s="42">
        <v>0.88</v>
      </c>
      <c r="H32" s="42">
        <v>0.9</v>
      </c>
      <c r="I32" s="42">
        <v>0.88</v>
      </c>
      <c r="J32" s="212">
        <v>0.9</v>
      </c>
      <c r="K32" s="166">
        <v>25.93</v>
      </c>
      <c r="L32" s="165">
        <v>26.11</v>
      </c>
      <c r="M32" s="233"/>
      <c r="N32" s="232"/>
      <c r="O32" s="232"/>
      <c r="P32" s="231"/>
      <c r="Q32" s="236" t="s">
        <v>21</v>
      </c>
      <c r="R32" s="37">
        <v>65.5</v>
      </c>
      <c r="S32" s="36">
        <f t="shared" si="0"/>
        <v>13.864807165298473</v>
      </c>
      <c r="T32" s="54">
        <v>3</v>
      </c>
      <c r="V32" s="35">
        <f t="shared" si="5"/>
        <v>21</v>
      </c>
      <c r="W32" s="35">
        <f t="shared" si="1"/>
        <v>2.0000000000000018E-2</v>
      </c>
      <c r="X32" s="35">
        <f t="shared" si="2"/>
        <v>0</v>
      </c>
      <c r="Y32" s="35">
        <v>0</v>
      </c>
      <c r="Z32" s="34">
        <v>0</v>
      </c>
      <c r="AA32" s="35">
        <f t="shared" si="3"/>
        <v>0</v>
      </c>
    </row>
    <row r="33" spans="1:28">
      <c r="A33" s="12">
        <f t="shared" si="4"/>
        <v>22</v>
      </c>
      <c r="B33" s="54"/>
      <c r="C33" s="213">
        <v>204</v>
      </c>
      <c r="D33" s="182">
        <v>204</v>
      </c>
      <c r="E33" s="118">
        <v>0.9</v>
      </c>
      <c r="F33" s="42">
        <v>0.9</v>
      </c>
      <c r="G33" s="42">
        <v>0.9</v>
      </c>
      <c r="H33" s="42">
        <v>0.9</v>
      </c>
      <c r="I33" s="42">
        <v>0.91</v>
      </c>
      <c r="J33" s="212">
        <v>0.92</v>
      </c>
      <c r="K33" s="166">
        <v>26.07</v>
      </c>
      <c r="L33" s="165">
        <v>26.04</v>
      </c>
      <c r="M33" s="233" t="s">
        <v>20</v>
      </c>
      <c r="N33" s="232"/>
      <c r="O33" s="232"/>
      <c r="P33" s="231"/>
      <c r="Q33" s="236" t="s">
        <v>19</v>
      </c>
      <c r="R33" s="37">
        <v>67</v>
      </c>
      <c r="S33" s="36">
        <f t="shared" si="0"/>
        <v>13.928520206364125</v>
      </c>
      <c r="T33" s="54">
        <v>3</v>
      </c>
      <c r="V33" s="35">
        <f t="shared" si="5"/>
        <v>22</v>
      </c>
      <c r="W33" s="35">
        <f t="shared" si="1"/>
        <v>2.0000000000000018E-2</v>
      </c>
      <c r="X33" s="35">
        <f t="shared" si="2"/>
        <v>0</v>
      </c>
      <c r="Y33" s="35">
        <v>0</v>
      </c>
      <c r="Z33" s="34">
        <v>0</v>
      </c>
      <c r="AA33" s="35">
        <f t="shared" si="3"/>
        <v>0</v>
      </c>
    </row>
    <row r="34" spans="1:28">
      <c r="A34" s="12">
        <f t="shared" si="4"/>
        <v>23</v>
      </c>
      <c r="B34" s="54"/>
      <c r="C34" s="213">
        <v>204</v>
      </c>
      <c r="D34" s="182">
        <v>204</v>
      </c>
      <c r="E34" s="118">
        <v>0.88</v>
      </c>
      <c r="F34" s="42">
        <v>0.86</v>
      </c>
      <c r="G34" s="42">
        <v>0.88</v>
      </c>
      <c r="H34" s="42">
        <v>0.86</v>
      </c>
      <c r="I34" s="42">
        <v>0.88</v>
      </c>
      <c r="J34" s="212">
        <v>0.86</v>
      </c>
      <c r="K34" s="166">
        <v>26.08</v>
      </c>
      <c r="L34" s="165">
        <v>25.94</v>
      </c>
      <c r="M34" s="233"/>
      <c r="N34" s="232"/>
      <c r="O34" s="232"/>
      <c r="P34" s="231"/>
      <c r="Q34" s="230"/>
      <c r="R34" s="37">
        <v>63.5</v>
      </c>
      <c r="S34" s="36">
        <f t="shared" si="0"/>
        <v>13.755739826146511</v>
      </c>
      <c r="T34" s="54">
        <v>3</v>
      </c>
      <c r="V34" s="35">
        <f t="shared" si="5"/>
        <v>23</v>
      </c>
      <c r="W34" s="35">
        <f t="shared" si="1"/>
        <v>2.0000000000000018E-2</v>
      </c>
      <c r="X34" s="35">
        <f t="shared" si="2"/>
        <v>0</v>
      </c>
      <c r="Y34" s="35">
        <v>0</v>
      </c>
      <c r="Z34" s="34">
        <v>0</v>
      </c>
      <c r="AA34" s="35">
        <f t="shared" si="3"/>
        <v>0</v>
      </c>
    </row>
    <row r="35" spans="1:28">
      <c r="A35" s="12">
        <f t="shared" si="4"/>
        <v>24</v>
      </c>
      <c r="B35" s="54"/>
      <c r="C35" s="213">
        <v>204</v>
      </c>
      <c r="D35" s="182">
        <v>204</v>
      </c>
      <c r="E35" s="118">
        <v>0.89</v>
      </c>
      <c r="F35" s="42">
        <v>0.89</v>
      </c>
      <c r="G35" s="42">
        <v>0.9</v>
      </c>
      <c r="H35" s="42">
        <v>0.9</v>
      </c>
      <c r="I35" s="42">
        <v>0.9</v>
      </c>
      <c r="J35" s="212">
        <v>0.89</v>
      </c>
      <c r="K35" s="166">
        <v>25.8</v>
      </c>
      <c r="L35" s="165">
        <v>25.89</v>
      </c>
      <c r="M35" s="233"/>
      <c r="N35" s="232"/>
      <c r="O35" s="232"/>
      <c r="P35" s="231"/>
      <c r="Q35" s="230"/>
      <c r="R35" s="37">
        <v>63.9</v>
      </c>
      <c r="S35" s="36">
        <f t="shared" si="0"/>
        <v>13.541635474812653</v>
      </c>
      <c r="T35" s="54">
        <v>3</v>
      </c>
      <c r="V35" s="35">
        <f t="shared" si="5"/>
        <v>24</v>
      </c>
      <c r="W35" s="35">
        <f t="shared" si="1"/>
        <v>1.0000000000000009E-2</v>
      </c>
      <c r="X35" s="35">
        <f t="shared" si="2"/>
        <v>0</v>
      </c>
      <c r="Y35" s="35">
        <v>0</v>
      </c>
      <c r="Z35" s="34">
        <v>0</v>
      </c>
      <c r="AA35" s="35">
        <f t="shared" si="3"/>
        <v>0</v>
      </c>
    </row>
    <row r="36" spans="1:28">
      <c r="A36" s="12">
        <f t="shared" si="4"/>
        <v>25</v>
      </c>
      <c r="B36" s="54"/>
      <c r="C36" s="213">
        <v>204</v>
      </c>
      <c r="D36" s="182">
        <v>204</v>
      </c>
      <c r="E36" s="118">
        <v>0.9</v>
      </c>
      <c r="F36" s="42">
        <v>0.89</v>
      </c>
      <c r="G36" s="42">
        <v>0.9</v>
      </c>
      <c r="H36" s="42">
        <v>0.88</v>
      </c>
      <c r="I36" s="42">
        <v>0.9</v>
      </c>
      <c r="J36" s="212">
        <v>0.89</v>
      </c>
      <c r="K36" s="166">
        <v>25.48</v>
      </c>
      <c r="L36" s="165">
        <v>25.86</v>
      </c>
      <c r="M36" s="233"/>
      <c r="N36" s="232"/>
      <c r="O36" s="232"/>
      <c r="P36" s="231"/>
      <c r="Q36" s="230"/>
      <c r="R36" s="37">
        <v>63.7</v>
      </c>
      <c r="S36" s="36">
        <f t="shared" si="0"/>
        <v>13.6166369053014</v>
      </c>
      <c r="T36" s="54">
        <v>3</v>
      </c>
      <c r="V36" s="35">
        <f t="shared" si="5"/>
        <v>25</v>
      </c>
      <c r="W36" s="35">
        <f t="shared" si="1"/>
        <v>2.0000000000000018E-2</v>
      </c>
      <c r="X36" s="35">
        <f t="shared" si="2"/>
        <v>0</v>
      </c>
      <c r="Y36" s="35">
        <v>0</v>
      </c>
      <c r="Z36" s="34">
        <v>0</v>
      </c>
      <c r="AA36" s="35">
        <f t="shared" si="3"/>
        <v>0</v>
      </c>
    </row>
    <row r="37" spans="1:28">
      <c r="A37" s="12">
        <f t="shared" si="4"/>
        <v>26</v>
      </c>
      <c r="B37" s="54"/>
      <c r="C37" s="213">
        <v>204</v>
      </c>
      <c r="D37" s="182">
        <v>204</v>
      </c>
      <c r="E37" s="118">
        <v>0.89</v>
      </c>
      <c r="F37" s="42">
        <v>0.88</v>
      </c>
      <c r="G37" s="42">
        <v>0.89</v>
      </c>
      <c r="H37" s="42">
        <v>0.89</v>
      </c>
      <c r="I37" s="42">
        <v>0.89</v>
      </c>
      <c r="J37" s="212">
        <v>0.89</v>
      </c>
      <c r="K37" s="166">
        <v>26.05</v>
      </c>
      <c r="L37" s="165">
        <v>26.11</v>
      </c>
      <c r="M37" s="233"/>
      <c r="N37" s="232"/>
      <c r="O37" s="232"/>
      <c r="P37" s="231"/>
      <c r="Q37" s="230"/>
      <c r="R37" s="37">
        <v>63.8</v>
      </c>
      <c r="S37" s="36">
        <f t="shared" si="0"/>
        <v>13.499166860197041</v>
      </c>
      <c r="T37" s="54">
        <v>3</v>
      </c>
      <c r="V37" s="35">
        <f t="shared" si="5"/>
        <v>26</v>
      </c>
      <c r="W37" s="35">
        <f t="shared" si="1"/>
        <v>1.0000000000000009E-2</v>
      </c>
      <c r="X37" s="35">
        <f t="shared" si="2"/>
        <v>0</v>
      </c>
      <c r="Y37" s="35">
        <v>0</v>
      </c>
      <c r="Z37" s="34">
        <v>0</v>
      </c>
      <c r="AA37" s="35">
        <f t="shared" si="3"/>
        <v>0</v>
      </c>
    </row>
    <row r="38" spans="1:28">
      <c r="A38" s="12">
        <f t="shared" si="4"/>
        <v>27</v>
      </c>
      <c r="B38" s="54"/>
      <c r="C38" s="213">
        <v>204</v>
      </c>
      <c r="D38" s="182">
        <v>204</v>
      </c>
      <c r="E38" s="118">
        <v>0.87</v>
      </c>
      <c r="F38" s="42">
        <v>0.88</v>
      </c>
      <c r="G38" s="42">
        <v>0.87</v>
      </c>
      <c r="H38" s="42">
        <v>0.88</v>
      </c>
      <c r="I38" s="42">
        <v>0.87</v>
      </c>
      <c r="J38" s="212">
        <v>0.88</v>
      </c>
      <c r="K38" s="166">
        <v>25.75</v>
      </c>
      <c r="L38" s="165">
        <v>25.92</v>
      </c>
      <c r="M38" s="233"/>
      <c r="N38" s="232"/>
      <c r="O38" s="232"/>
      <c r="P38" s="231"/>
      <c r="Q38" s="230"/>
      <c r="R38" s="37">
        <v>64</v>
      </c>
      <c r="S38" s="36">
        <f t="shared" si="0"/>
        <v>13.878204659065096</v>
      </c>
      <c r="T38" s="54">
        <v>3</v>
      </c>
      <c r="V38" s="35">
        <f t="shared" si="5"/>
        <v>27</v>
      </c>
      <c r="W38" s="35">
        <f t="shared" si="1"/>
        <v>1.0000000000000009E-2</v>
      </c>
      <c r="X38" s="35">
        <f t="shared" si="2"/>
        <v>0</v>
      </c>
      <c r="Y38" s="35">
        <v>0</v>
      </c>
      <c r="Z38" s="34">
        <v>0</v>
      </c>
      <c r="AA38" s="35">
        <f t="shared" si="3"/>
        <v>0</v>
      </c>
    </row>
    <row r="39" spans="1:28">
      <c r="A39" s="44">
        <f t="shared" si="4"/>
        <v>28</v>
      </c>
      <c r="B39" s="54" t="s">
        <v>81</v>
      </c>
      <c r="C39" s="213">
        <v>204</v>
      </c>
      <c r="D39" s="182">
        <v>204</v>
      </c>
      <c r="E39" s="118">
        <v>0.9</v>
      </c>
      <c r="F39" s="42">
        <v>0.93</v>
      </c>
      <c r="G39" s="42">
        <v>0.9</v>
      </c>
      <c r="H39" s="42">
        <v>0.92</v>
      </c>
      <c r="I39" s="42">
        <v>0.91</v>
      </c>
      <c r="J39" s="212">
        <v>0.91</v>
      </c>
      <c r="K39" s="166">
        <v>26.01</v>
      </c>
      <c r="L39" s="165">
        <v>25.95</v>
      </c>
      <c r="M39" s="233"/>
      <c r="N39" s="232"/>
      <c r="O39" s="232"/>
      <c r="P39" s="231"/>
      <c r="Q39" s="230"/>
      <c r="R39" s="37">
        <v>67.099999999999994</v>
      </c>
      <c r="S39" s="36">
        <f t="shared" si="0"/>
        <v>13.887278019828962</v>
      </c>
      <c r="T39" s="54">
        <v>3</v>
      </c>
      <c r="V39" s="172">
        <f t="shared" si="5"/>
        <v>28</v>
      </c>
      <c r="W39" s="35">
        <f t="shared" si="1"/>
        <v>3.0000000000000027E-2</v>
      </c>
      <c r="X39" s="35">
        <f t="shared" si="2"/>
        <v>0</v>
      </c>
      <c r="Y39" s="35">
        <v>0</v>
      </c>
      <c r="Z39" s="34">
        <v>0</v>
      </c>
      <c r="AA39" s="35">
        <f t="shared" si="3"/>
        <v>0</v>
      </c>
      <c r="AB39" t="s">
        <v>82</v>
      </c>
    </row>
    <row r="40" spans="1:28">
      <c r="A40" s="12">
        <f t="shared" si="4"/>
        <v>29</v>
      </c>
      <c r="B40" s="54"/>
      <c r="C40" s="213">
        <v>204</v>
      </c>
      <c r="D40" s="182">
        <v>204</v>
      </c>
      <c r="E40" s="118">
        <v>0.9</v>
      </c>
      <c r="F40" s="42">
        <v>0.89</v>
      </c>
      <c r="G40" s="42">
        <v>0.9</v>
      </c>
      <c r="H40" s="42">
        <v>0.89</v>
      </c>
      <c r="I40" s="42">
        <v>0.89</v>
      </c>
      <c r="J40" s="212">
        <v>0.88</v>
      </c>
      <c r="K40" s="166">
        <v>25.9</v>
      </c>
      <c r="L40" s="165">
        <v>25.99</v>
      </c>
      <c r="M40" s="233"/>
      <c r="N40" s="232"/>
      <c r="O40" s="232"/>
      <c r="P40" s="231"/>
      <c r="Q40" s="236" t="s">
        <v>19</v>
      </c>
      <c r="R40" s="37">
        <v>65.7</v>
      </c>
      <c r="S40" s="36">
        <f t="shared" si="0"/>
        <v>13.921274451357171</v>
      </c>
      <c r="T40" s="54">
        <v>3</v>
      </c>
      <c r="V40" s="35">
        <f t="shared" si="5"/>
        <v>29</v>
      </c>
      <c r="W40" s="35">
        <f t="shared" si="1"/>
        <v>2.0000000000000018E-2</v>
      </c>
      <c r="X40" s="35">
        <f t="shared" si="2"/>
        <v>0</v>
      </c>
      <c r="Y40" s="35">
        <v>0</v>
      </c>
      <c r="Z40" s="34">
        <v>0</v>
      </c>
      <c r="AA40" s="35">
        <f t="shared" si="3"/>
        <v>0</v>
      </c>
    </row>
    <row r="41" spans="1:28">
      <c r="A41" s="12">
        <f t="shared" si="4"/>
        <v>30</v>
      </c>
      <c r="B41" s="54"/>
      <c r="C41" s="213">
        <v>204</v>
      </c>
      <c r="D41" s="182">
        <v>204</v>
      </c>
      <c r="E41" s="118">
        <v>0.9</v>
      </c>
      <c r="F41" s="42">
        <v>0.91</v>
      </c>
      <c r="G41" s="42">
        <v>0.9</v>
      </c>
      <c r="H41" s="42">
        <v>0.91</v>
      </c>
      <c r="I41" s="42">
        <v>0.9</v>
      </c>
      <c r="J41" s="212">
        <v>0.91</v>
      </c>
      <c r="K41" s="166">
        <v>26.09</v>
      </c>
      <c r="L41" s="165">
        <v>26.05</v>
      </c>
      <c r="M41" s="233"/>
      <c r="N41" s="232"/>
      <c r="O41" s="232"/>
      <c r="P41" s="231"/>
      <c r="Q41" s="230"/>
      <c r="R41" s="37">
        <v>67</v>
      </c>
      <c r="S41" s="36">
        <f t="shared" si="0"/>
        <v>13.920506098075075</v>
      </c>
      <c r="T41" s="54">
        <v>3</v>
      </c>
      <c r="V41" s="35">
        <f t="shared" si="5"/>
        <v>30</v>
      </c>
      <c r="W41" s="35">
        <f t="shared" si="1"/>
        <v>1.0000000000000009E-2</v>
      </c>
      <c r="X41" s="35">
        <f t="shared" si="2"/>
        <v>0</v>
      </c>
      <c r="Y41" s="35">
        <v>0</v>
      </c>
      <c r="Z41" s="34">
        <v>0</v>
      </c>
      <c r="AA41" s="35">
        <f t="shared" si="3"/>
        <v>0</v>
      </c>
    </row>
    <row r="42" spans="1:28">
      <c r="A42" s="12">
        <f t="shared" si="4"/>
        <v>31</v>
      </c>
      <c r="B42" s="54"/>
      <c r="C42" s="213">
        <v>204</v>
      </c>
      <c r="D42" s="182">
        <v>204</v>
      </c>
      <c r="E42" s="118">
        <v>0.91</v>
      </c>
      <c r="F42" s="42">
        <v>0.9</v>
      </c>
      <c r="G42" s="42">
        <v>0.91</v>
      </c>
      <c r="H42" s="42">
        <v>0.9</v>
      </c>
      <c r="I42" s="42">
        <v>0.91</v>
      </c>
      <c r="J42" s="212">
        <v>0.91</v>
      </c>
      <c r="K42" s="166">
        <v>26.06</v>
      </c>
      <c r="L42" s="165">
        <v>26.09</v>
      </c>
      <c r="M42" s="233"/>
      <c r="N42" s="232"/>
      <c r="O42" s="232"/>
      <c r="P42" s="231"/>
      <c r="Q42" s="230"/>
      <c r="R42" s="37">
        <v>65.099999999999994</v>
      </c>
      <c r="S42" s="36">
        <f t="shared" si="0"/>
        <v>13.498293119063653</v>
      </c>
      <c r="T42" s="54">
        <v>3</v>
      </c>
      <c r="V42" s="35">
        <f t="shared" si="5"/>
        <v>31</v>
      </c>
      <c r="W42" s="35">
        <f t="shared" si="1"/>
        <v>1.0000000000000009E-2</v>
      </c>
      <c r="X42" s="35">
        <f t="shared" si="2"/>
        <v>0</v>
      </c>
      <c r="Y42" s="35">
        <v>0</v>
      </c>
      <c r="Z42" s="34">
        <v>0</v>
      </c>
      <c r="AA42" s="35">
        <f t="shared" si="3"/>
        <v>0</v>
      </c>
    </row>
    <row r="43" spans="1:28">
      <c r="A43" s="12">
        <f t="shared" si="4"/>
        <v>32</v>
      </c>
      <c r="B43" s="54"/>
      <c r="C43" s="213">
        <v>204</v>
      </c>
      <c r="D43" s="182">
        <v>204</v>
      </c>
      <c r="E43" s="118">
        <v>0.9</v>
      </c>
      <c r="F43" s="42">
        <v>0.91</v>
      </c>
      <c r="G43" s="42">
        <v>0.9</v>
      </c>
      <c r="H43" s="42">
        <v>0.91</v>
      </c>
      <c r="I43" s="42">
        <v>0.91</v>
      </c>
      <c r="J43" s="212">
        <v>0.92</v>
      </c>
      <c r="K43" s="166">
        <v>26.01</v>
      </c>
      <c r="L43" s="165">
        <v>26.08</v>
      </c>
      <c r="M43" s="233"/>
      <c r="N43" s="232"/>
      <c r="O43" s="232"/>
      <c r="P43" s="231"/>
      <c r="Q43" s="230"/>
      <c r="R43" s="37">
        <v>65.400000000000006</v>
      </c>
      <c r="S43" s="36">
        <f t="shared" si="0"/>
        <v>13.551206622022969</v>
      </c>
      <c r="T43" s="54">
        <v>3</v>
      </c>
      <c r="V43" s="35">
        <f t="shared" si="5"/>
        <v>32</v>
      </c>
      <c r="W43" s="35">
        <f t="shared" si="1"/>
        <v>2.0000000000000018E-2</v>
      </c>
      <c r="X43" s="35">
        <f t="shared" si="2"/>
        <v>0</v>
      </c>
      <c r="Y43" s="35">
        <v>0</v>
      </c>
      <c r="Z43" s="34">
        <v>0</v>
      </c>
      <c r="AA43" s="35">
        <f t="shared" si="3"/>
        <v>0</v>
      </c>
    </row>
    <row r="44" spans="1:28">
      <c r="A44" s="12">
        <f t="shared" si="4"/>
        <v>33</v>
      </c>
      <c r="B44" s="54"/>
      <c r="C44" s="213">
        <v>204</v>
      </c>
      <c r="D44" s="182">
        <v>204</v>
      </c>
      <c r="E44" s="118">
        <v>0.93</v>
      </c>
      <c r="F44" s="42">
        <v>0.92</v>
      </c>
      <c r="G44" s="42">
        <v>0.93</v>
      </c>
      <c r="H44" s="42">
        <v>0.92</v>
      </c>
      <c r="I44" s="42">
        <v>0.92</v>
      </c>
      <c r="J44" s="212">
        <v>0.92</v>
      </c>
      <c r="K44" s="166">
        <v>25.61</v>
      </c>
      <c r="L44" s="165">
        <v>26.01</v>
      </c>
      <c r="M44" s="233"/>
      <c r="N44" s="232"/>
      <c r="O44" s="232"/>
      <c r="P44" s="231"/>
      <c r="Q44" s="230"/>
      <c r="R44" s="37">
        <v>66</v>
      </c>
      <c r="S44" s="36">
        <f t="shared" si="0"/>
        <v>13.575856827861999</v>
      </c>
      <c r="T44" s="54">
        <v>3</v>
      </c>
      <c r="V44" s="35">
        <f t="shared" si="5"/>
        <v>33</v>
      </c>
      <c r="W44" s="35">
        <f t="shared" si="1"/>
        <v>1.0000000000000009E-2</v>
      </c>
      <c r="X44" s="35">
        <f t="shared" si="2"/>
        <v>0</v>
      </c>
      <c r="Y44" s="35">
        <v>0</v>
      </c>
      <c r="Z44" s="34">
        <v>0</v>
      </c>
      <c r="AA44" s="35">
        <f t="shared" si="3"/>
        <v>0</v>
      </c>
    </row>
    <row r="45" spans="1:28">
      <c r="A45" s="12">
        <f t="shared" si="4"/>
        <v>34</v>
      </c>
      <c r="B45" s="54"/>
      <c r="C45" s="213">
        <v>204</v>
      </c>
      <c r="D45" s="182">
        <v>204</v>
      </c>
      <c r="E45" s="118">
        <v>0.89</v>
      </c>
      <c r="F45" s="42">
        <v>0.88</v>
      </c>
      <c r="G45" s="42">
        <v>0.89</v>
      </c>
      <c r="H45" s="42">
        <v>0.88</v>
      </c>
      <c r="I45" s="42">
        <v>0.89</v>
      </c>
      <c r="J45" s="212">
        <v>0.89</v>
      </c>
      <c r="K45" s="166">
        <v>26.04</v>
      </c>
      <c r="L45" s="165">
        <v>25.98</v>
      </c>
      <c r="M45" s="233"/>
      <c r="N45" s="232"/>
      <c r="O45" s="232"/>
      <c r="P45" s="231"/>
      <c r="Q45" s="230"/>
      <c r="R45" s="37">
        <v>65</v>
      </c>
      <c r="S45" s="36">
        <f t="shared" si="0"/>
        <v>13.81600415313336</v>
      </c>
      <c r="T45" s="54">
        <v>3</v>
      </c>
      <c r="V45" s="35">
        <f t="shared" si="5"/>
        <v>34</v>
      </c>
      <c r="W45" s="35">
        <f t="shared" si="1"/>
        <v>1.0000000000000009E-2</v>
      </c>
      <c r="X45" s="35">
        <f t="shared" si="2"/>
        <v>0</v>
      </c>
      <c r="Y45" s="35">
        <v>0</v>
      </c>
      <c r="Z45" s="34">
        <v>0</v>
      </c>
      <c r="AA45" s="35">
        <f t="shared" si="3"/>
        <v>0</v>
      </c>
    </row>
    <row r="46" spans="1:28">
      <c r="A46" s="12">
        <f t="shared" si="4"/>
        <v>35</v>
      </c>
      <c r="B46" s="54" t="s">
        <v>81</v>
      </c>
      <c r="C46" s="213">
        <v>204</v>
      </c>
      <c r="D46" s="182">
        <v>204</v>
      </c>
      <c r="E46" s="118">
        <v>0.89</v>
      </c>
      <c r="F46" s="42">
        <v>0.88</v>
      </c>
      <c r="G46" s="42">
        <v>0.89</v>
      </c>
      <c r="H46" s="42">
        <v>0.88</v>
      </c>
      <c r="I46" s="42">
        <v>0.89</v>
      </c>
      <c r="J46" s="212">
        <v>0.88</v>
      </c>
      <c r="K46" s="166">
        <v>25.99</v>
      </c>
      <c r="L46" s="165">
        <v>26.06</v>
      </c>
      <c r="M46" s="233"/>
      <c r="N46" s="232"/>
      <c r="O46" s="232"/>
      <c r="P46" s="231"/>
      <c r="Q46" s="230"/>
      <c r="R46" s="37">
        <v>64.2</v>
      </c>
      <c r="S46" s="36">
        <f t="shared" si="0"/>
        <v>13.663779714331231</v>
      </c>
      <c r="T46" s="54">
        <v>3</v>
      </c>
      <c r="V46" s="35">
        <f t="shared" si="5"/>
        <v>35</v>
      </c>
      <c r="W46" s="35">
        <f t="shared" si="1"/>
        <v>1.0000000000000009E-2</v>
      </c>
      <c r="X46" s="35">
        <f t="shared" si="2"/>
        <v>0</v>
      </c>
      <c r="Y46" s="35">
        <v>0</v>
      </c>
      <c r="Z46" s="34">
        <v>0</v>
      </c>
      <c r="AA46" s="35">
        <f t="shared" si="3"/>
        <v>0</v>
      </c>
    </row>
    <row r="47" spans="1:28">
      <c r="A47" s="12">
        <f t="shared" si="4"/>
        <v>36</v>
      </c>
      <c r="B47" s="54"/>
      <c r="C47" s="213">
        <v>204</v>
      </c>
      <c r="D47" s="182">
        <v>204</v>
      </c>
      <c r="E47" s="118">
        <v>0.92</v>
      </c>
      <c r="F47" s="42">
        <v>0.91</v>
      </c>
      <c r="G47" s="42">
        <v>0.91</v>
      </c>
      <c r="H47" s="42">
        <v>0.91</v>
      </c>
      <c r="I47" s="42">
        <v>0.91</v>
      </c>
      <c r="J47" s="212">
        <v>0.91</v>
      </c>
      <c r="K47" s="166">
        <v>25.95</v>
      </c>
      <c r="L47" s="165">
        <v>25.6</v>
      </c>
      <c r="M47" s="233"/>
      <c r="N47" s="232"/>
      <c r="O47" s="232"/>
      <c r="P47" s="231"/>
      <c r="Q47" s="230"/>
      <c r="R47" s="37">
        <v>66.599999999999994</v>
      </c>
      <c r="S47" s="36">
        <f t="shared" si="0"/>
        <v>13.893424707286295</v>
      </c>
      <c r="T47" s="54">
        <v>3</v>
      </c>
      <c r="V47" s="35">
        <f t="shared" si="5"/>
        <v>36</v>
      </c>
      <c r="W47" s="35">
        <f t="shared" si="1"/>
        <v>1.0000000000000009E-2</v>
      </c>
      <c r="X47" s="35">
        <f t="shared" si="2"/>
        <v>0</v>
      </c>
      <c r="Y47" s="35">
        <v>0</v>
      </c>
      <c r="Z47" s="34">
        <v>0</v>
      </c>
      <c r="AA47" s="35">
        <f t="shared" si="3"/>
        <v>0</v>
      </c>
    </row>
    <row r="48" spans="1:28" s="71" customFormat="1">
      <c r="A48" s="71">
        <f t="shared" si="4"/>
        <v>37</v>
      </c>
      <c r="B48" s="74"/>
      <c r="C48" s="210">
        <v>204</v>
      </c>
      <c r="D48" s="209">
        <v>204</v>
      </c>
      <c r="E48" s="112">
        <v>0.89</v>
      </c>
      <c r="F48" s="208">
        <v>0.89</v>
      </c>
      <c r="G48" s="208">
        <v>0.89</v>
      </c>
      <c r="H48" s="208">
        <v>0.89</v>
      </c>
      <c r="I48" s="208">
        <v>0.89</v>
      </c>
      <c r="J48" s="207">
        <v>0.89</v>
      </c>
      <c r="K48" s="157">
        <v>25.71</v>
      </c>
      <c r="L48" s="156">
        <v>25.93</v>
      </c>
      <c r="M48" s="225"/>
      <c r="N48" s="224"/>
      <c r="O48" s="224"/>
      <c r="P48" s="223"/>
      <c r="Q48" s="222"/>
      <c r="R48" s="73">
        <v>64.2</v>
      </c>
      <c r="S48" s="250">
        <f t="shared" si="0"/>
        <v>13.694892138005605</v>
      </c>
      <c r="T48" s="74">
        <v>3</v>
      </c>
      <c r="V48" s="19">
        <f t="shared" si="5"/>
        <v>37</v>
      </c>
      <c r="W48" s="19">
        <f t="shared" si="1"/>
        <v>0</v>
      </c>
      <c r="X48" s="19">
        <f t="shared" si="2"/>
        <v>0</v>
      </c>
      <c r="Y48" s="19">
        <v>0</v>
      </c>
      <c r="Z48" s="18">
        <v>0</v>
      </c>
      <c r="AA48" s="19">
        <f t="shared" si="3"/>
        <v>0</v>
      </c>
    </row>
    <row r="49" spans="1:27">
      <c r="A49" s="12"/>
      <c r="C49" s="247"/>
      <c r="D49" s="248"/>
      <c r="E49" s="7"/>
      <c r="F49" s="7"/>
      <c r="G49" s="7"/>
      <c r="H49" s="7"/>
      <c r="I49" s="7"/>
      <c r="J49" s="7"/>
      <c r="K49" s="11"/>
      <c r="L49" s="199"/>
      <c r="M49" s="232"/>
      <c r="N49" s="246"/>
      <c r="O49" s="246"/>
      <c r="P49" s="231"/>
      <c r="Q49" s="249"/>
      <c r="R49" s="9"/>
      <c r="S49" s="100"/>
      <c r="Y49" s="1">
        <f>SUM(Y12:Y48)</f>
        <v>0</v>
      </c>
      <c r="Z49" s="1">
        <f>SUM(Z12:Z48)</f>
        <v>0</v>
      </c>
      <c r="AA49" s="1">
        <f>SUM(AA12:AA48)</f>
        <v>0</v>
      </c>
    </row>
    <row r="50" spans="1:27">
      <c r="A50" s="12"/>
      <c r="C50" s="247"/>
      <c r="D50" s="248"/>
      <c r="E50" s="7"/>
      <c r="F50" s="7"/>
      <c r="G50" s="7"/>
      <c r="H50" s="7"/>
      <c r="I50" s="7"/>
      <c r="J50" s="7"/>
      <c r="K50" s="11"/>
      <c r="L50" s="199"/>
      <c r="M50" s="232"/>
      <c r="N50" s="246"/>
      <c r="O50" s="246"/>
      <c r="P50" s="231"/>
      <c r="Q50" s="249"/>
      <c r="R50" s="9"/>
      <c r="S50" s="100"/>
    </row>
    <row r="51" spans="1:27">
      <c r="A51" s="12" t="s">
        <v>17</v>
      </c>
      <c r="C51" s="1" t="s">
        <v>16</v>
      </c>
      <c r="E51" s="1" t="s">
        <v>15</v>
      </c>
      <c r="K51" s="1" t="s">
        <v>14</v>
      </c>
      <c r="R51" s="1" t="s">
        <v>13</v>
      </c>
      <c r="S51" s="1" t="s">
        <v>12</v>
      </c>
    </row>
    <row r="52" spans="1:27">
      <c r="A52" s="12"/>
    </row>
    <row r="53" spans="1:27">
      <c r="A53" s="1" t="s">
        <v>11</v>
      </c>
      <c r="C53" s="1">
        <f>8*25.4</f>
        <v>203.2</v>
      </c>
      <c r="E53" s="1">
        <f>C6</f>
        <v>0.88900000000000001</v>
      </c>
      <c r="K53" s="11">
        <v>25.4</v>
      </c>
    </row>
    <row r="54" spans="1:27">
      <c r="A54" s="1" t="s">
        <v>10</v>
      </c>
      <c r="C54" s="1">
        <f>MODE(C12:D48)</f>
        <v>204</v>
      </c>
      <c r="E54" s="1">
        <f>MODE(E12:J48)</f>
        <v>0.89</v>
      </c>
      <c r="K54" s="1">
        <f>MODE(K12:L48)</f>
        <v>26.05</v>
      </c>
      <c r="R54" s="1">
        <f>MODE(R12:R48)</f>
        <v>63.9</v>
      </c>
      <c r="S54" s="1" t="e">
        <f>MODE(S22:S48)</f>
        <v>#N/A</v>
      </c>
    </row>
    <row r="55" spans="1:27">
      <c r="A55" s="1" t="s">
        <v>9</v>
      </c>
      <c r="C55" s="10">
        <f>AVERAGE(C12:D48)</f>
        <v>204</v>
      </c>
      <c r="E55" s="7">
        <f>AVERAGE(E12:J48)</f>
        <v>0.89288288288288087</v>
      </c>
      <c r="K55" s="6">
        <f>AVERAGE(K12:L48)</f>
        <v>25.91648648648648</v>
      </c>
      <c r="R55" s="9">
        <f>AVERAGE(R12:R48)</f>
        <v>64.808108108108101</v>
      </c>
      <c r="S55" s="9">
        <f>AVERAGE(S22:S48)</f>
        <v>13.754952914421013</v>
      </c>
    </row>
    <row r="56" spans="1:27">
      <c r="A56" s="1" t="s">
        <v>8</v>
      </c>
      <c r="C56" s="1">
        <f>STDEV(C12:D48)</f>
        <v>0</v>
      </c>
      <c r="D56" s="248"/>
      <c r="E56" s="1">
        <f>STDEV(E12:J48)</f>
        <v>1.5711619897266372E-2</v>
      </c>
      <c r="K56" s="1">
        <f>STDEV(K12:L48)</f>
        <v>0.16880265232312469</v>
      </c>
      <c r="R56" s="1">
        <f>STDEV(R12:R48)</f>
        <v>1.2947282808841865</v>
      </c>
      <c r="S56" s="1">
        <f>STDEV(S22:S48)</f>
        <v>0.1475998573589101</v>
      </c>
    </row>
    <row r="57" spans="1:27">
      <c r="A57" s="8" t="s">
        <v>7</v>
      </c>
      <c r="D57" s="248"/>
      <c r="E57" s="7">
        <f>E55+E56</f>
        <v>0.9085945027801472</v>
      </c>
      <c r="K57" s="6">
        <f>K55+K56</f>
        <v>26.085289138809603</v>
      </c>
      <c r="R57" s="1">
        <f>R55+R56</f>
        <v>66.102836388992287</v>
      </c>
      <c r="S57" s="9">
        <f>S55+S56</f>
        <v>13.902552771779924</v>
      </c>
    </row>
    <row r="58" spans="1:27">
      <c r="A58" s="8" t="s">
        <v>6</v>
      </c>
      <c r="D58" s="248"/>
      <c r="E58" s="7">
        <f>E55-E56</f>
        <v>0.87717126298561454</v>
      </c>
      <c r="K58" s="6">
        <f>K55-K56</f>
        <v>25.747683834163357</v>
      </c>
      <c r="R58" s="1">
        <f>R55-R56</f>
        <v>63.513379827223915</v>
      </c>
      <c r="S58" s="9">
        <f>S55-S56</f>
        <v>13.607353057062102</v>
      </c>
    </row>
    <row r="59" spans="1:27">
      <c r="A59" s="1" t="s">
        <v>72</v>
      </c>
      <c r="C59" s="6">
        <f>MAX(C12:D48)-C53</f>
        <v>0.80000000000001137</v>
      </c>
      <c r="E59" s="7">
        <f>MAX($E$12:J48)-$E$53</f>
        <v>4.1000000000000036E-2</v>
      </c>
      <c r="K59" s="6">
        <f>MAX(K12:L48)-$K$53</f>
        <v>1.0100000000000016</v>
      </c>
      <c r="L59" s="199"/>
      <c r="M59" s="232"/>
      <c r="N59" s="246"/>
      <c r="O59" s="246"/>
      <c r="P59" s="231"/>
      <c r="Q59" s="245"/>
      <c r="R59" s="9"/>
    </row>
    <row r="60" spans="1:27">
      <c r="A60" s="1" t="s">
        <v>71</v>
      </c>
      <c r="C60" s="6">
        <f>MIN(C12:D48)-C53</f>
        <v>0.80000000000001137</v>
      </c>
      <c r="E60" s="7">
        <f>MIN($E$12:J48)-$E$53</f>
        <v>-3.9000000000000035E-2</v>
      </c>
      <c r="K60" s="6">
        <f>MIN(K12:L48)-K53</f>
        <v>8.0000000000001847E-2</v>
      </c>
      <c r="L60" s="199"/>
      <c r="M60" s="232"/>
      <c r="N60" s="246"/>
      <c r="O60" s="246"/>
      <c r="P60" s="231"/>
      <c r="Q60" s="245"/>
      <c r="R60" s="9"/>
      <c r="S60" s="100"/>
    </row>
    <row r="61" spans="1:27" ht="15" thickBot="1">
      <c r="A61" s="12"/>
      <c r="C61" s="247"/>
      <c r="E61" s="7"/>
      <c r="F61" s="7"/>
      <c r="G61" s="7"/>
      <c r="H61" s="7"/>
      <c r="I61" s="7"/>
      <c r="J61" s="7"/>
      <c r="K61" s="11"/>
      <c r="L61" s="199"/>
      <c r="M61" s="232"/>
      <c r="N61" s="246"/>
      <c r="O61" s="246"/>
      <c r="P61" s="231"/>
      <c r="Q61" s="245"/>
      <c r="R61" s="9"/>
      <c r="S61" s="100"/>
    </row>
    <row r="62" spans="1:27" s="12" customFormat="1">
      <c r="A62" s="32" t="s">
        <v>3</v>
      </c>
      <c r="C62" s="5" t="s">
        <v>2</v>
      </c>
      <c r="D62" s="5" t="s">
        <v>1</v>
      </c>
      <c r="E62" s="42"/>
      <c r="F62" s="42"/>
      <c r="G62" s="42"/>
      <c r="H62" s="42"/>
      <c r="I62" s="42"/>
      <c r="J62" s="42"/>
      <c r="K62" s="11"/>
      <c r="L62" s="199"/>
      <c r="M62" s="232"/>
      <c r="N62" s="232"/>
      <c r="O62" s="232"/>
      <c r="P62" s="231"/>
      <c r="Q62" s="231"/>
      <c r="R62" s="244"/>
      <c r="S62" s="243"/>
    </row>
    <row r="63" spans="1:27" s="12" customFormat="1">
      <c r="A63" s="12">
        <v>0.84</v>
      </c>
      <c r="C63" s="4">
        <v>0.84</v>
      </c>
      <c r="D63" s="3">
        <v>0</v>
      </c>
    </row>
    <row r="64" spans="1:27">
      <c r="A64" s="1">
        <f t="shared" ref="A64:A73" si="6">A63+0.01</f>
        <v>0.85</v>
      </c>
      <c r="C64" s="4">
        <v>0.85</v>
      </c>
      <c r="D64" s="3">
        <v>2</v>
      </c>
    </row>
    <row r="65" spans="1:4">
      <c r="A65" s="1">
        <f t="shared" si="6"/>
        <v>0.86</v>
      </c>
      <c r="C65" s="4">
        <v>0.86</v>
      </c>
      <c r="D65" s="3">
        <v>8</v>
      </c>
    </row>
    <row r="66" spans="1:4">
      <c r="A66" s="1">
        <f t="shared" si="6"/>
        <v>0.87</v>
      </c>
      <c r="C66" s="4">
        <v>0.87</v>
      </c>
      <c r="D66" s="3">
        <v>14</v>
      </c>
    </row>
    <row r="67" spans="1:4">
      <c r="A67" s="1">
        <f t="shared" si="6"/>
        <v>0.88</v>
      </c>
      <c r="C67" s="4">
        <v>0.88</v>
      </c>
      <c r="D67" s="3">
        <v>43</v>
      </c>
    </row>
    <row r="68" spans="1:4">
      <c r="A68" s="1">
        <f t="shared" si="6"/>
        <v>0.89</v>
      </c>
      <c r="C68" s="4">
        <v>0.89</v>
      </c>
      <c r="D68" s="3">
        <v>62</v>
      </c>
    </row>
    <row r="69" spans="1:4">
      <c r="A69" s="1">
        <f t="shared" si="6"/>
        <v>0.9</v>
      </c>
      <c r="C69" s="4">
        <v>0.9</v>
      </c>
      <c r="D69" s="3">
        <v>38</v>
      </c>
    </row>
    <row r="70" spans="1:4">
      <c r="A70" s="1">
        <f t="shared" si="6"/>
        <v>0.91</v>
      </c>
      <c r="C70" s="4">
        <v>0.91</v>
      </c>
      <c r="D70" s="3">
        <v>40</v>
      </c>
    </row>
    <row r="71" spans="1:4">
      <c r="A71" s="1">
        <f t="shared" si="6"/>
        <v>0.92</v>
      </c>
      <c r="C71" s="4">
        <v>0.92</v>
      </c>
      <c r="D71" s="3">
        <v>11</v>
      </c>
    </row>
    <row r="72" spans="1:4">
      <c r="A72" s="1">
        <f t="shared" si="6"/>
        <v>0.93</v>
      </c>
      <c r="C72" s="4">
        <v>0.93</v>
      </c>
      <c r="D72" s="3">
        <v>4</v>
      </c>
    </row>
    <row r="73" spans="1:4">
      <c r="A73" s="1">
        <f t="shared" si="6"/>
        <v>0.94000000000000006</v>
      </c>
      <c r="C73" s="4">
        <v>0.94000000000000006</v>
      </c>
      <c r="D73" s="3">
        <v>0</v>
      </c>
    </row>
    <row r="74" spans="1:4" ht="15" thickBot="1">
      <c r="C74" s="2" t="s">
        <v>0</v>
      </c>
      <c r="D74" s="2">
        <v>0</v>
      </c>
    </row>
  </sheetData>
  <mergeCells count="4">
    <mergeCell ref="C9:D9"/>
    <mergeCell ref="E9:I9"/>
    <mergeCell ref="K9:L9"/>
    <mergeCell ref="M9:P9"/>
  </mergeCells>
  <phoneticPr fontId="16" type="noConversion"/>
  <pageMargins left="0.25" right="0.25" top="0.25" bottom="0.25" header="0.3" footer="0.3"/>
  <pageSetup orientation="landscape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4"/>
  <sheetViews>
    <sheetView zoomScale="70" zoomScaleNormal="70" zoomScalePageLayoutView="70" workbookViewId="0">
      <selection activeCell="A12" sqref="A12"/>
    </sheetView>
  </sheetViews>
  <sheetFormatPr baseColWidth="10" defaultColWidth="8.83203125" defaultRowHeight="14" x14ac:dyDescent="0"/>
  <cols>
    <col min="1" max="1" width="6.33203125" style="1" customWidth="1"/>
    <col min="2" max="2" width="16.1640625" style="1" customWidth="1"/>
    <col min="3" max="4" width="5.1640625" style="1" customWidth="1"/>
    <col min="5" max="9" width="6.83203125" style="1" customWidth="1"/>
    <col min="10" max="10" width="6.83203125" style="1" bestFit="1" customWidth="1"/>
    <col min="11" max="12" width="6.83203125" style="1" customWidth="1"/>
    <col min="13" max="16" width="3.6640625" style="1" customWidth="1"/>
    <col min="17" max="17" width="5.33203125" style="1" customWidth="1"/>
    <col min="18" max="18" width="4" style="1" customWidth="1"/>
    <col min="19" max="19" width="5.5" style="1" customWidth="1"/>
    <col min="20" max="20" width="5.1640625" style="1" customWidth="1"/>
    <col min="21" max="21" width="9.83203125" style="1" customWidth="1"/>
    <col min="22" max="16384" width="8.83203125" style="1"/>
  </cols>
  <sheetData>
    <row r="1" spans="1:28">
      <c r="A1" s="1" t="s">
        <v>49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9"/>
      <c r="T1" s="9"/>
      <c r="U1" s="9"/>
    </row>
    <row r="2" spans="1:28">
      <c r="A2" s="1" t="s">
        <v>48</v>
      </c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9"/>
      <c r="T2" s="9"/>
      <c r="U2" s="9"/>
    </row>
    <row r="3" spans="1:28">
      <c r="A3" s="1" t="s">
        <v>47</v>
      </c>
      <c r="B3" s="79"/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  <c r="R3" s="79"/>
      <c r="S3" s="9"/>
      <c r="T3" s="9"/>
      <c r="U3" s="9"/>
    </row>
    <row r="4" spans="1:28">
      <c r="B4" s="79"/>
      <c r="C4" s="79"/>
      <c r="D4" s="79"/>
      <c r="E4" s="79"/>
      <c r="F4" s="79"/>
      <c r="G4" s="79"/>
      <c r="H4" s="79"/>
      <c r="I4" s="79"/>
      <c r="J4" s="79"/>
      <c r="K4" s="79"/>
      <c r="L4" s="79"/>
      <c r="M4" s="79"/>
      <c r="N4" s="79"/>
      <c r="O4" s="79"/>
      <c r="P4" s="79"/>
      <c r="Q4" s="79"/>
      <c r="R4" s="79"/>
      <c r="S4" s="9"/>
      <c r="T4" s="9"/>
      <c r="U4" s="9"/>
    </row>
    <row r="5" spans="1:28">
      <c r="B5" s="79" t="s">
        <v>46</v>
      </c>
      <c r="C5" s="79" t="s">
        <v>45</v>
      </c>
      <c r="D5" s="79"/>
      <c r="E5" s="79"/>
      <c r="F5" s="79"/>
      <c r="G5" s="79"/>
      <c r="H5" s="79"/>
      <c r="I5" s="79"/>
      <c r="J5" s="79"/>
      <c r="K5" s="79"/>
      <c r="L5" s="79"/>
      <c r="M5" s="79"/>
      <c r="N5" s="79">
        <f>54-38+1</f>
        <v>17</v>
      </c>
      <c r="O5" s="79"/>
      <c r="P5" s="79"/>
      <c r="Q5" s="79"/>
      <c r="R5" s="79"/>
      <c r="S5" s="9"/>
      <c r="T5" s="9"/>
      <c r="U5" s="9"/>
    </row>
    <row r="6" spans="1:28">
      <c r="A6" s="1" t="s">
        <v>86</v>
      </c>
      <c r="B6" s="79">
        <v>3.5000000000000003E-2</v>
      </c>
      <c r="C6" s="79">
        <v>0.88900000000000001</v>
      </c>
      <c r="D6" s="79"/>
      <c r="E6" s="79"/>
      <c r="F6" s="79"/>
      <c r="G6" s="79"/>
      <c r="H6" s="79"/>
      <c r="I6" s="79"/>
      <c r="J6" s="79"/>
      <c r="K6" s="79"/>
      <c r="L6" s="79"/>
      <c r="M6" s="79"/>
      <c r="N6" s="79"/>
      <c r="O6" s="79"/>
      <c r="P6" s="79"/>
      <c r="Q6" s="79"/>
      <c r="R6" s="79"/>
      <c r="S6" s="9"/>
      <c r="T6" s="9"/>
      <c r="U6" s="9"/>
    </row>
    <row r="7" spans="1:28">
      <c r="B7" s="79"/>
      <c r="C7" s="79"/>
      <c r="D7" s="79"/>
      <c r="E7" s="79"/>
      <c r="F7" s="79"/>
      <c r="G7" s="79"/>
      <c r="H7" s="79"/>
      <c r="I7" s="79"/>
      <c r="J7" s="79"/>
      <c r="K7" s="79"/>
      <c r="L7" s="79"/>
      <c r="M7" s="79"/>
      <c r="N7" s="79"/>
      <c r="O7" s="79"/>
      <c r="P7" s="79"/>
      <c r="Q7" s="79"/>
      <c r="R7" s="79"/>
      <c r="S7" s="9"/>
      <c r="T7" s="9"/>
      <c r="U7" s="9"/>
    </row>
    <row r="8" spans="1:28">
      <c r="A8" s="1" t="s">
        <v>54</v>
      </c>
      <c r="B8" s="79"/>
      <c r="C8" s="79"/>
      <c r="D8" s="79"/>
      <c r="E8" s="79"/>
      <c r="F8" s="79"/>
      <c r="G8" s="79"/>
      <c r="H8" s="79"/>
      <c r="I8" s="79"/>
      <c r="J8" s="79"/>
      <c r="K8" s="79"/>
      <c r="L8" s="79"/>
      <c r="M8" s="79"/>
      <c r="N8" s="79"/>
      <c r="O8" s="79"/>
      <c r="P8" s="79"/>
      <c r="Q8" s="79"/>
      <c r="R8" s="79"/>
      <c r="S8" s="9"/>
      <c r="T8" s="9"/>
      <c r="U8" s="9"/>
      <c r="W8" s="221" t="s">
        <v>42</v>
      </c>
      <c r="Z8" s="221"/>
    </row>
    <row r="9" spans="1:28" ht="42">
      <c r="A9" s="71" t="s">
        <v>32</v>
      </c>
      <c r="B9" s="76" t="s">
        <v>41</v>
      </c>
      <c r="C9" s="386" t="s">
        <v>40</v>
      </c>
      <c r="D9" s="387"/>
      <c r="E9" s="385" t="s">
        <v>39</v>
      </c>
      <c r="F9" s="385"/>
      <c r="G9" s="385"/>
      <c r="H9" s="385"/>
      <c r="I9" s="385"/>
      <c r="J9" s="75"/>
      <c r="K9" s="386" t="s">
        <v>38</v>
      </c>
      <c r="L9" s="387"/>
      <c r="M9" s="386" t="s">
        <v>37</v>
      </c>
      <c r="N9" s="384"/>
      <c r="O9" s="384"/>
      <c r="P9" s="384"/>
      <c r="Q9" s="384"/>
      <c r="R9" s="74" t="s">
        <v>36</v>
      </c>
      <c r="S9" s="204" t="s">
        <v>70</v>
      </c>
      <c r="T9" s="203" t="s">
        <v>69</v>
      </c>
      <c r="U9" s="19" t="s">
        <v>33</v>
      </c>
      <c r="W9" s="19" t="s">
        <v>32</v>
      </c>
      <c r="X9" s="253" t="s">
        <v>58</v>
      </c>
      <c r="Y9" s="69" t="s">
        <v>31</v>
      </c>
      <c r="Z9" s="68" t="s">
        <v>30</v>
      </c>
      <c r="AA9" s="19" t="s">
        <v>29</v>
      </c>
      <c r="AB9" s="67" t="s">
        <v>51</v>
      </c>
    </row>
    <row r="10" spans="1:28">
      <c r="A10" s="16"/>
      <c r="B10" s="217"/>
      <c r="C10" s="219">
        <v>1</v>
      </c>
      <c r="D10" s="217">
        <v>2</v>
      </c>
      <c r="E10" s="219">
        <v>1</v>
      </c>
      <c r="F10" s="218">
        <v>2</v>
      </c>
      <c r="G10" s="218">
        <v>3</v>
      </c>
      <c r="H10" s="218">
        <v>4</v>
      </c>
      <c r="I10" s="218">
        <v>5</v>
      </c>
      <c r="J10" s="217">
        <v>6</v>
      </c>
      <c r="K10" s="219">
        <v>1</v>
      </c>
      <c r="L10" s="217">
        <v>2</v>
      </c>
      <c r="M10" s="219">
        <v>1</v>
      </c>
      <c r="N10" s="218">
        <v>2</v>
      </c>
      <c r="O10" s="218">
        <v>3</v>
      </c>
      <c r="P10" s="218">
        <v>4</v>
      </c>
      <c r="Q10" s="218" t="s">
        <v>88</v>
      </c>
      <c r="R10" s="217"/>
      <c r="S10" s="216"/>
      <c r="T10" s="215"/>
      <c r="U10" s="35"/>
      <c r="W10" s="35"/>
      <c r="X10" s="35"/>
      <c r="Y10" s="52"/>
      <c r="Z10" s="59"/>
      <c r="AA10" s="59"/>
      <c r="AB10" s="54"/>
    </row>
    <row r="11" spans="1:28">
      <c r="A11" s="12"/>
      <c r="B11" s="54"/>
      <c r="C11" s="56"/>
      <c r="D11" s="54"/>
      <c r="E11" s="56"/>
      <c r="F11" s="12"/>
      <c r="G11" s="12"/>
      <c r="H11" s="12"/>
      <c r="I11" s="12"/>
      <c r="J11" s="54"/>
      <c r="K11" s="56"/>
      <c r="L11" s="54"/>
      <c r="M11" s="56"/>
      <c r="N11" s="12"/>
      <c r="O11" s="12"/>
      <c r="P11" s="12"/>
      <c r="Q11" s="12"/>
      <c r="R11" s="54"/>
      <c r="S11" s="56"/>
      <c r="T11" s="54"/>
      <c r="U11" s="35"/>
      <c r="W11" s="35"/>
      <c r="X11" s="35"/>
      <c r="Y11" s="35"/>
      <c r="Z11" s="35"/>
      <c r="AA11" s="35"/>
      <c r="AB11" s="54"/>
    </row>
    <row r="12" spans="1:28">
      <c r="A12" s="12">
        <v>38</v>
      </c>
      <c r="B12" s="54"/>
      <c r="C12" s="213">
        <v>103</v>
      </c>
      <c r="D12" s="182">
        <v>102</v>
      </c>
      <c r="E12" s="118">
        <v>0.91</v>
      </c>
      <c r="F12" s="42">
        <v>0.9</v>
      </c>
      <c r="G12" s="42">
        <v>0.91</v>
      </c>
      <c r="H12" s="42">
        <v>0.91</v>
      </c>
      <c r="I12" s="42"/>
      <c r="J12" s="212"/>
      <c r="K12" s="166">
        <v>25.98</v>
      </c>
      <c r="L12" s="165">
        <v>25.99</v>
      </c>
      <c r="M12" s="233"/>
      <c r="N12" s="232"/>
      <c r="O12" s="232"/>
      <c r="P12" s="231"/>
      <c r="Q12" s="12"/>
      <c r="R12" s="236" t="s">
        <v>21</v>
      </c>
      <c r="S12" s="37">
        <v>32.9</v>
      </c>
      <c r="T12" s="36">
        <v>13.611396265639481</v>
      </c>
      <c r="U12" s="35">
        <v>3</v>
      </c>
      <c r="W12" s="35">
        <v>38</v>
      </c>
      <c r="X12" s="160">
        <f t="shared" ref="X12:X28" si="0">MAX(E12:H12)-MIN(E12:H12)</f>
        <v>1.0000000000000009E-2</v>
      </c>
      <c r="Y12" s="35">
        <v>0</v>
      </c>
      <c r="Z12" s="35">
        <v>0</v>
      </c>
      <c r="AA12" s="34">
        <v>0</v>
      </c>
      <c r="AB12" s="54">
        <f t="shared" ref="AB12:AB28" si="1">IF(OR(M12="Y",N12="Y",O12="Y",P12="Y"),1,0)</f>
        <v>0</v>
      </c>
    </row>
    <row r="13" spans="1:28">
      <c r="A13" s="12">
        <v>39</v>
      </c>
      <c r="B13" s="54"/>
      <c r="C13" s="213">
        <v>103</v>
      </c>
      <c r="D13" s="182">
        <v>103</v>
      </c>
      <c r="E13" s="118">
        <v>0.91</v>
      </c>
      <c r="F13" s="42">
        <v>0.91</v>
      </c>
      <c r="G13" s="42">
        <v>0.9</v>
      </c>
      <c r="H13" s="42">
        <v>0.9</v>
      </c>
      <c r="I13" s="42"/>
      <c r="J13" s="212"/>
      <c r="K13" s="166">
        <v>25.93</v>
      </c>
      <c r="L13" s="165">
        <v>25.79</v>
      </c>
      <c r="M13" s="233"/>
      <c r="N13" s="232"/>
      <c r="O13" s="232"/>
      <c r="P13" s="231"/>
      <c r="Q13" s="12"/>
      <c r="R13" s="236" t="s">
        <v>21</v>
      </c>
      <c r="S13" s="37">
        <v>32.4</v>
      </c>
      <c r="T13" s="36">
        <v>13.440972290066634</v>
      </c>
      <c r="U13" s="35">
        <v>3</v>
      </c>
      <c r="W13" s="35">
        <v>39</v>
      </c>
      <c r="X13" s="160">
        <f t="shared" si="0"/>
        <v>1.0000000000000009E-2</v>
      </c>
      <c r="Y13" s="35">
        <v>0</v>
      </c>
      <c r="Z13" s="35">
        <v>0</v>
      </c>
      <c r="AA13" s="34">
        <v>0</v>
      </c>
      <c r="AB13" s="54">
        <f t="shared" si="1"/>
        <v>0</v>
      </c>
    </row>
    <row r="14" spans="1:28">
      <c r="A14" s="12">
        <v>40</v>
      </c>
      <c r="B14" s="54"/>
      <c r="C14" s="213">
        <v>103</v>
      </c>
      <c r="D14" s="182">
        <v>103</v>
      </c>
      <c r="E14" s="118">
        <v>0.88</v>
      </c>
      <c r="F14" s="42">
        <v>0.88</v>
      </c>
      <c r="G14" s="42">
        <v>0.88</v>
      </c>
      <c r="H14" s="42">
        <v>0.88</v>
      </c>
      <c r="I14" s="42"/>
      <c r="J14" s="212"/>
      <c r="K14" s="166">
        <v>25.83</v>
      </c>
      <c r="L14" s="165">
        <v>25.99</v>
      </c>
      <c r="M14" s="233"/>
      <c r="N14" s="232"/>
      <c r="O14" s="232"/>
      <c r="P14" s="231"/>
      <c r="Q14" s="12"/>
      <c r="R14" s="236" t="s">
        <v>19</v>
      </c>
      <c r="S14" s="37">
        <v>31.5</v>
      </c>
      <c r="T14" s="36">
        <v>13.41291720985433</v>
      </c>
      <c r="U14" s="35">
        <v>3</v>
      </c>
      <c r="W14" s="35">
        <v>40</v>
      </c>
      <c r="X14" s="160">
        <f t="shared" si="0"/>
        <v>0</v>
      </c>
      <c r="Y14" s="35">
        <v>0</v>
      </c>
      <c r="Z14" s="35">
        <v>0</v>
      </c>
      <c r="AA14" s="34">
        <v>0</v>
      </c>
      <c r="AB14" s="54">
        <f t="shared" si="1"/>
        <v>0</v>
      </c>
    </row>
    <row r="15" spans="1:28">
      <c r="A15" s="12">
        <v>41</v>
      </c>
      <c r="B15" s="54"/>
      <c r="C15" s="213">
        <v>103</v>
      </c>
      <c r="D15" s="182">
        <v>103</v>
      </c>
      <c r="E15" s="118">
        <v>0.88</v>
      </c>
      <c r="F15" s="42">
        <v>0.88</v>
      </c>
      <c r="G15" s="42">
        <v>0.88</v>
      </c>
      <c r="H15" s="42">
        <v>0.88</v>
      </c>
      <c r="I15" s="42"/>
      <c r="J15" s="212"/>
      <c r="K15" s="166">
        <v>25.96</v>
      </c>
      <c r="L15" s="165">
        <v>25.77</v>
      </c>
      <c r="M15" s="233"/>
      <c r="N15" s="232"/>
      <c r="O15" s="232"/>
      <c r="P15" s="231"/>
      <c r="Q15" s="12"/>
      <c r="R15" s="236" t="s">
        <v>19</v>
      </c>
      <c r="S15" s="37">
        <v>31.6</v>
      </c>
      <c r="T15" s="36">
        <v>13.478907812630897</v>
      </c>
      <c r="U15" s="35">
        <v>3</v>
      </c>
      <c r="W15" s="35">
        <v>41</v>
      </c>
      <c r="X15" s="160">
        <f t="shared" si="0"/>
        <v>0</v>
      </c>
      <c r="Y15" s="35">
        <v>0</v>
      </c>
      <c r="Z15" s="35">
        <v>0</v>
      </c>
      <c r="AA15" s="34">
        <v>0</v>
      </c>
      <c r="AB15" s="54">
        <f t="shared" si="1"/>
        <v>0</v>
      </c>
    </row>
    <row r="16" spans="1:28">
      <c r="A16" s="12">
        <v>42</v>
      </c>
      <c r="B16" s="54"/>
      <c r="C16" s="213">
        <v>103</v>
      </c>
      <c r="D16" s="182">
        <v>103</v>
      </c>
      <c r="E16" s="118">
        <v>0.9</v>
      </c>
      <c r="F16" s="42">
        <v>0.91</v>
      </c>
      <c r="G16" s="42">
        <v>0.9</v>
      </c>
      <c r="H16" s="42">
        <v>0.9</v>
      </c>
      <c r="I16" s="42"/>
      <c r="J16" s="212"/>
      <c r="K16" s="166">
        <v>25.91</v>
      </c>
      <c r="L16" s="165">
        <v>26</v>
      </c>
      <c r="M16" s="233"/>
      <c r="N16" s="232"/>
      <c r="O16" s="232"/>
      <c r="P16" s="231"/>
      <c r="Q16" s="12"/>
      <c r="R16" s="236" t="s">
        <v>21</v>
      </c>
      <c r="S16" s="37">
        <v>32.700000000000003</v>
      </c>
      <c r="T16" s="36">
        <v>13.553213639218521</v>
      </c>
      <c r="U16" s="35">
        <v>3</v>
      </c>
      <c r="W16" s="35">
        <v>42</v>
      </c>
      <c r="X16" s="160">
        <f t="shared" si="0"/>
        <v>1.0000000000000009E-2</v>
      </c>
      <c r="Y16" s="35">
        <v>0</v>
      </c>
      <c r="Z16" s="35">
        <v>0</v>
      </c>
      <c r="AA16" s="34">
        <v>0</v>
      </c>
      <c r="AB16" s="54">
        <f t="shared" si="1"/>
        <v>0</v>
      </c>
    </row>
    <row r="17" spans="1:28">
      <c r="A17" s="12">
        <v>43</v>
      </c>
      <c r="B17" s="54"/>
      <c r="C17" s="213">
        <v>103</v>
      </c>
      <c r="D17" s="182">
        <v>103</v>
      </c>
      <c r="E17" s="118">
        <v>0.88</v>
      </c>
      <c r="F17" s="42">
        <v>0.87</v>
      </c>
      <c r="G17" s="42">
        <v>0.88</v>
      </c>
      <c r="H17" s="42">
        <v>0.87</v>
      </c>
      <c r="I17" s="42"/>
      <c r="J17" s="212"/>
      <c r="K17" s="166">
        <v>25.99</v>
      </c>
      <c r="L17" s="165">
        <v>26.01</v>
      </c>
      <c r="M17" s="233"/>
      <c r="N17" s="232"/>
      <c r="O17" s="232"/>
      <c r="P17" s="231"/>
      <c r="Q17" s="12"/>
      <c r="R17" s="230"/>
      <c r="S17" s="37">
        <v>31.5</v>
      </c>
      <c r="T17" s="36">
        <v>13.442867811799852</v>
      </c>
      <c r="U17" s="35">
        <v>3</v>
      </c>
      <c r="W17" s="35">
        <v>43</v>
      </c>
      <c r="X17" s="160">
        <f t="shared" si="0"/>
        <v>1.0000000000000009E-2</v>
      </c>
      <c r="Y17" s="35">
        <v>0</v>
      </c>
      <c r="Z17" s="35">
        <v>0</v>
      </c>
      <c r="AA17" s="34">
        <v>0</v>
      </c>
      <c r="AB17" s="54">
        <f t="shared" si="1"/>
        <v>0</v>
      </c>
    </row>
    <row r="18" spans="1:28">
      <c r="A18" s="12">
        <v>44</v>
      </c>
      <c r="B18" s="54"/>
      <c r="C18" s="213">
        <v>103</v>
      </c>
      <c r="D18" s="182">
        <v>103</v>
      </c>
      <c r="E18" s="118">
        <v>0.86</v>
      </c>
      <c r="F18" s="42">
        <v>0.87</v>
      </c>
      <c r="G18" s="42">
        <v>0.86</v>
      </c>
      <c r="H18" s="42">
        <v>0.87</v>
      </c>
      <c r="I18" s="42"/>
      <c r="J18" s="212"/>
      <c r="K18" s="166">
        <v>26.11</v>
      </c>
      <c r="L18" s="165">
        <v>25.86</v>
      </c>
      <c r="M18" s="233" t="s">
        <v>20</v>
      </c>
      <c r="N18" s="232"/>
      <c r="O18" s="232"/>
      <c r="P18" s="231"/>
      <c r="Q18" s="12"/>
      <c r="R18" s="236" t="s">
        <v>21</v>
      </c>
      <c r="S18" s="37">
        <v>31.1</v>
      </c>
      <c r="T18" s="36">
        <v>13.433350168575048</v>
      </c>
      <c r="U18" s="35">
        <v>3</v>
      </c>
      <c r="W18" s="35">
        <v>44</v>
      </c>
      <c r="X18" s="160">
        <f t="shared" si="0"/>
        <v>1.0000000000000009E-2</v>
      </c>
      <c r="Y18" s="35">
        <v>0</v>
      </c>
      <c r="Z18" s="35">
        <v>0</v>
      </c>
      <c r="AA18" s="34">
        <v>0</v>
      </c>
      <c r="AB18" s="54">
        <f t="shared" si="1"/>
        <v>0</v>
      </c>
    </row>
    <row r="19" spans="1:28">
      <c r="A19" s="12">
        <v>45</v>
      </c>
      <c r="B19" s="54"/>
      <c r="C19" s="213">
        <v>102</v>
      </c>
      <c r="D19" s="182">
        <v>102</v>
      </c>
      <c r="E19" s="118">
        <v>0.88</v>
      </c>
      <c r="F19" s="42">
        <v>0.87</v>
      </c>
      <c r="G19" s="42">
        <v>0.88</v>
      </c>
      <c r="H19" s="42">
        <v>0.88</v>
      </c>
      <c r="I19" s="42"/>
      <c r="J19" s="212"/>
      <c r="K19" s="166">
        <v>25.99</v>
      </c>
      <c r="L19" s="165">
        <v>25.82</v>
      </c>
      <c r="M19" s="233"/>
      <c r="N19" s="232"/>
      <c r="O19" s="232"/>
      <c r="P19" s="231"/>
      <c r="Q19" s="12"/>
      <c r="R19" s="236" t="s">
        <v>21</v>
      </c>
      <c r="S19" s="37">
        <v>31.3</v>
      </c>
      <c r="T19" s="36">
        <v>13.499368230645032</v>
      </c>
      <c r="U19" s="35">
        <v>3</v>
      </c>
      <c r="W19" s="35">
        <v>45</v>
      </c>
      <c r="X19" s="160">
        <f t="shared" si="0"/>
        <v>1.0000000000000009E-2</v>
      </c>
      <c r="Y19" s="35">
        <v>0</v>
      </c>
      <c r="Z19" s="35">
        <v>0</v>
      </c>
      <c r="AA19" s="34">
        <v>0</v>
      </c>
      <c r="AB19" s="54">
        <f t="shared" si="1"/>
        <v>0</v>
      </c>
    </row>
    <row r="20" spans="1:28">
      <c r="A20" s="12">
        <v>46</v>
      </c>
      <c r="B20" s="54"/>
      <c r="C20" s="213">
        <v>103</v>
      </c>
      <c r="D20" s="182">
        <v>103</v>
      </c>
      <c r="E20" s="118">
        <v>0.88</v>
      </c>
      <c r="F20" s="42">
        <v>0.88</v>
      </c>
      <c r="G20" s="42">
        <v>0.88</v>
      </c>
      <c r="H20" s="42">
        <v>0.88</v>
      </c>
      <c r="I20" s="42"/>
      <c r="J20" s="212"/>
      <c r="K20" s="166">
        <v>25.76</v>
      </c>
      <c r="L20" s="165">
        <v>25.96</v>
      </c>
      <c r="M20" s="233"/>
      <c r="N20" s="232"/>
      <c r="O20" s="232"/>
      <c r="P20" s="231"/>
      <c r="Q20" s="12"/>
      <c r="R20" s="236" t="s">
        <v>21</v>
      </c>
      <c r="S20" s="37">
        <v>31.5</v>
      </c>
      <c r="T20" s="36">
        <v>13.43885092449055</v>
      </c>
      <c r="U20" s="35">
        <v>3</v>
      </c>
      <c r="W20" s="35">
        <v>46</v>
      </c>
      <c r="X20" s="160">
        <f t="shared" si="0"/>
        <v>0</v>
      </c>
      <c r="Y20" s="35">
        <v>0</v>
      </c>
      <c r="Z20" s="35">
        <v>0</v>
      </c>
      <c r="AA20" s="34">
        <v>0</v>
      </c>
      <c r="AB20" s="54">
        <f t="shared" si="1"/>
        <v>0</v>
      </c>
    </row>
    <row r="21" spans="1:28">
      <c r="A21" s="44">
        <v>47</v>
      </c>
      <c r="B21" s="54"/>
      <c r="C21" s="213">
        <v>103</v>
      </c>
      <c r="D21" s="182">
        <v>103</v>
      </c>
      <c r="E21" s="118">
        <v>0.87</v>
      </c>
      <c r="F21" s="42">
        <v>0.85</v>
      </c>
      <c r="G21" s="42">
        <v>0.87</v>
      </c>
      <c r="H21" s="42">
        <v>0.86</v>
      </c>
      <c r="I21" s="42"/>
      <c r="J21" s="212"/>
      <c r="K21" s="166">
        <v>25.99</v>
      </c>
      <c r="L21" s="165">
        <v>25.85</v>
      </c>
      <c r="M21" s="233"/>
      <c r="N21" s="232"/>
      <c r="O21" s="232"/>
      <c r="P21" s="231"/>
      <c r="Q21" s="12"/>
      <c r="R21" s="230"/>
      <c r="S21" s="37">
        <v>31</v>
      </c>
      <c r="T21" s="36">
        <v>13.462644202290559</v>
      </c>
      <c r="U21" s="35">
        <v>3</v>
      </c>
      <c r="W21" s="172">
        <v>47</v>
      </c>
      <c r="X21" s="160">
        <f t="shared" si="0"/>
        <v>2.0000000000000018E-2</v>
      </c>
      <c r="Y21" s="35">
        <v>0</v>
      </c>
      <c r="Z21" s="35">
        <v>0</v>
      </c>
      <c r="AA21" s="34">
        <v>0</v>
      </c>
      <c r="AB21" s="54">
        <f t="shared" si="1"/>
        <v>0</v>
      </c>
    </row>
    <row r="22" spans="1:28">
      <c r="A22" s="12">
        <v>48</v>
      </c>
      <c r="B22" s="54"/>
      <c r="C22" s="213">
        <v>103</v>
      </c>
      <c r="D22" s="182">
        <v>102</v>
      </c>
      <c r="E22" s="118">
        <v>0.89</v>
      </c>
      <c r="F22" s="42">
        <v>0.89</v>
      </c>
      <c r="G22" s="42">
        <v>0.89</v>
      </c>
      <c r="H22" s="42">
        <v>0.89</v>
      </c>
      <c r="I22" s="42"/>
      <c r="J22" s="212"/>
      <c r="K22" s="166">
        <v>25.92</v>
      </c>
      <c r="L22" s="165">
        <v>25.95</v>
      </c>
      <c r="M22" s="233"/>
      <c r="N22" s="232"/>
      <c r="O22" s="232"/>
      <c r="P22" s="231"/>
      <c r="Q22" s="12"/>
      <c r="R22" s="230"/>
      <c r="S22" s="37">
        <v>32.5</v>
      </c>
      <c r="T22" s="36">
        <v>13.736726029928203</v>
      </c>
      <c r="U22" s="35">
        <v>3</v>
      </c>
      <c r="W22" s="35">
        <v>48</v>
      </c>
      <c r="X22" s="160">
        <f t="shared" si="0"/>
        <v>0</v>
      </c>
      <c r="Y22" s="35">
        <v>0</v>
      </c>
      <c r="Z22" s="35">
        <v>0</v>
      </c>
      <c r="AA22" s="34">
        <v>0</v>
      </c>
      <c r="AB22" s="54">
        <f t="shared" si="1"/>
        <v>0</v>
      </c>
    </row>
    <row r="23" spans="1:28">
      <c r="A23" s="12">
        <v>49</v>
      </c>
      <c r="B23" s="54"/>
      <c r="C23" s="213">
        <v>103</v>
      </c>
      <c r="D23" s="182">
        <v>103</v>
      </c>
      <c r="E23" s="118">
        <v>0.89</v>
      </c>
      <c r="F23" s="42">
        <v>0.88</v>
      </c>
      <c r="G23" s="42">
        <v>0.89</v>
      </c>
      <c r="H23" s="42">
        <v>0.88</v>
      </c>
      <c r="I23" s="42"/>
      <c r="J23" s="212"/>
      <c r="K23" s="166">
        <v>25.81</v>
      </c>
      <c r="L23" s="165">
        <v>25.94</v>
      </c>
      <c r="M23" s="233"/>
      <c r="N23" s="232"/>
      <c r="O23" s="232"/>
      <c r="P23" s="231"/>
      <c r="Q23" s="12"/>
      <c r="R23" s="230"/>
      <c r="S23" s="37">
        <v>32</v>
      </c>
      <c r="T23" s="36">
        <v>13.567165551482757</v>
      </c>
      <c r="U23" s="35">
        <v>3</v>
      </c>
      <c r="W23" s="35">
        <v>49</v>
      </c>
      <c r="X23" s="160">
        <f t="shared" si="0"/>
        <v>1.0000000000000009E-2</v>
      </c>
      <c r="Y23" s="35">
        <v>0</v>
      </c>
      <c r="Z23" s="35">
        <v>0</v>
      </c>
      <c r="AA23" s="34">
        <v>0</v>
      </c>
      <c r="AB23" s="54">
        <f t="shared" si="1"/>
        <v>0</v>
      </c>
    </row>
    <row r="24" spans="1:28">
      <c r="A24" s="44">
        <v>50</v>
      </c>
      <c r="B24" s="54"/>
      <c r="C24" s="213">
        <v>103</v>
      </c>
      <c r="D24" s="182">
        <v>103</v>
      </c>
      <c r="E24" s="118">
        <v>0.9</v>
      </c>
      <c r="F24" s="42">
        <v>0.88</v>
      </c>
      <c r="G24" s="42">
        <v>0.9</v>
      </c>
      <c r="H24" s="42">
        <v>0.88</v>
      </c>
      <c r="I24" s="42"/>
      <c r="J24" s="212"/>
      <c r="K24" s="166">
        <v>25.89</v>
      </c>
      <c r="L24" s="165">
        <v>29.03</v>
      </c>
      <c r="M24" s="233"/>
      <c r="N24" s="232"/>
      <c r="O24" s="232"/>
      <c r="P24" s="231"/>
      <c r="Q24" s="12"/>
      <c r="R24" s="230"/>
      <c r="S24" s="37">
        <v>32.299999999999997</v>
      </c>
      <c r="T24" s="36">
        <v>12.831421107298407</v>
      </c>
      <c r="U24" s="35">
        <v>3</v>
      </c>
      <c r="W24" s="172">
        <v>50</v>
      </c>
      <c r="X24" s="160">
        <f t="shared" si="0"/>
        <v>2.0000000000000018E-2</v>
      </c>
      <c r="Y24" s="35">
        <v>0</v>
      </c>
      <c r="Z24" s="35">
        <v>1</v>
      </c>
      <c r="AA24" s="34">
        <v>0</v>
      </c>
      <c r="AB24" s="54">
        <f t="shared" si="1"/>
        <v>0</v>
      </c>
    </row>
    <row r="25" spans="1:28">
      <c r="A25" s="44">
        <v>51</v>
      </c>
      <c r="B25" s="54"/>
      <c r="C25" s="213">
        <v>103</v>
      </c>
      <c r="D25" s="182">
        <v>103</v>
      </c>
      <c r="E25" s="118">
        <v>0.88</v>
      </c>
      <c r="F25" s="42">
        <v>0.86</v>
      </c>
      <c r="G25" s="42">
        <v>0.88</v>
      </c>
      <c r="H25" s="42">
        <v>0.86</v>
      </c>
      <c r="I25" s="42"/>
      <c r="J25" s="212"/>
      <c r="K25" s="166">
        <v>25.95</v>
      </c>
      <c r="L25" s="165">
        <v>26.01</v>
      </c>
      <c r="M25" s="233"/>
      <c r="N25" s="232"/>
      <c r="O25" s="232"/>
      <c r="P25" s="231"/>
      <c r="Q25" s="12"/>
      <c r="R25" s="230"/>
      <c r="S25" s="37">
        <v>31.8</v>
      </c>
      <c r="T25" s="36">
        <v>13.659396002126742</v>
      </c>
      <c r="U25" s="35">
        <v>3</v>
      </c>
      <c r="W25" s="172">
        <v>51</v>
      </c>
      <c r="X25" s="160">
        <f t="shared" si="0"/>
        <v>2.0000000000000018E-2</v>
      </c>
      <c r="Y25" s="35">
        <v>0</v>
      </c>
      <c r="Z25" s="35">
        <v>0</v>
      </c>
      <c r="AA25" s="34">
        <v>0</v>
      </c>
      <c r="AB25" s="54">
        <f t="shared" si="1"/>
        <v>0</v>
      </c>
    </row>
    <row r="26" spans="1:28">
      <c r="A26" s="12">
        <v>52</v>
      </c>
      <c r="B26" s="54" t="s">
        <v>87</v>
      </c>
      <c r="C26" s="213">
        <v>103</v>
      </c>
      <c r="D26" s="182">
        <v>103</v>
      </c>
      <c r="E26" s="118">
        <v>0.88</v>
      </c>
      <c r="F26" s="42">
        <v>0.89</v>
      </c>
      <c r="G26" s="42">
        <v>0.88</v>
      </c>
      <c r="H26" s="42">
        <v>0.89</v>
      </c>
      <c r="I26" s="42"/>
      <c r="J26" s="212"/>
      <c r="K26" s="166">
        <v>25.9</v>
      </c>
      <c r="L26" s="165">
        <v>25.99</v>
      </c>
      <c r="M26" s="233"/>
      <c r="N26" s="232"/>
      <c r="O26" s="232"/>
      <c r="P26" s="231"/>
      <c r="Q26" s="12"/>
      <c r="R26" s="230"/>
      <c r="S26" s="37">
        <v>32.299999999999997</v>
      </c>
      <c r="T26" s="36">
        <v>13.657410145525517</v>
      </c>
      <c r="U26" s="35">
        <v>3</v>
      </c>
      <c r="W26" s="35">
        <v>52</v>
      </c>
      <c r="X26" s="160">
        <f t="shared" si="0"/>
        <v>1.0000000000000009E-2</v>
      </c>
      <c r="Y26" s="35">
        <v>0</v>
      </c>
      <c r="Z26" s="35">
        <v>0</v>
      </c>
      <c r="AA26" s="34">
        <v>0</v>
      </c>
      <c r="AB26" s="54">
        <f t="shared" si="1"/>
        <v>0</v>
      </c>
    </row>
    <row r="27" spans="1:28">
      <c r="A27" s="12">
        <v>53</v>
      </c>
      <c r="B27" s="54"/>
      <c r="C27" s="213">
        <v>103</v>
      </c>
      <c r="D27" s="182">
        <v>103</v>
      </c>
      <c r="E27" s="118">
        <v>0.87</v>
      </c>
      <c r="F27" s="42">
        <v>0.86</v>
      </c>
      <c r="G27" s="42">
        <v>0.87</v>
      </c>
      <c r="H27" s="42">
        <v>0.86</v>
      </c>
      <c r="I27" s="42"/>
      <c r="J27" s="212"/>
      <c r="K27" s="166">
        <v>26.02</v>
      </c>
      <c r="L27" s="165">
        <v>25.98</v>
      </c>
      <c r="M27" s="233"/>
      <c r="N27" s="232"/>
      <c r="O27" s="232"/>
      <c r="P27" s="231"/>
      <c r="Q27" s="12"/>
      <c r="R27" s="230"/>
      <c r="S27" s="37">
        <v>31.4</v>
      </c>
      <c r="T27" s="36">
        <v>13.555107555893235</v>
      </c>
      <c r="U27" s="35">
        <v>3</v>
      </c>
      <c r="W27" s="35">
        <v>53</v>
      </c>
      <c r="X27" s="160">
        <f t="shared" si="0"/>
        <v>1.0000000000000009E-2</v>
      </c>
      <c r="Y27" s="35">
        <v>0</v>
      </c>
      <c r="Z27" s="35">
        <v>0</v>
      </c>
      <c r="AA27" s="34">
        <v>0</v>
      </c>
      <c r="AB27" s="54">
        <f t="shared" si="1"/>
        <v>0</v>
      </c>
    </row>
    <row r="28" spans="1:28" s="71" customFormat="1">
      <c r="A28" s="71">
        <v>54</v>
      </c>
      <c r="B28" s="74"/>
      <c r="C28" s="210">
        <v>102</v>
      </c>
      <c r="D28" s="209">
        <v>102</v>
      </c>
      <c r="E28" s="112">
        <v>0.87</v>
      </c>
      <c r="F28" s="208">
        <v>0.88</v>
      </c>
      <c r="G28" s="208">
        <v>0.87</v>
      </c>
      <c r="H28" s="208">
        <v>0.88</v>
      </c>
      <c r="I28" s="208"/>
      <c r="J28" s="207"/>
      <c r="K28" s="157">
        <v>26.01</v>
      </c>
      <c r="L28" s="156">
        <v>26</v>
      </c>
      <c r="M28" s="225"/>
      <c r="N28" s="224"/>
      <c r="O28" s="224"/>
      <c r="P28" s="223"/>
      <c r="R28" s="222"/>
      <c r="S28" s="21">
        <v>31.5</v>
      </c>
      <c r="T28" s="20">
        <v>13.572050623748824</v>
      </c>
      <c r="U28" s="19">
        <v>3</v>
      </c>
      <c r="W28" s="19">
        <v>54</v>
      </c>
      <c r="X28" s="151">
        <f t="shared" si="0"/>
        <v>1.0000000000000009E-2</v>
      </c>
      <c r="Y28" s="19">
        <v>0</v>
      </c>
      <c r="Z28" s="19">
        <v>0</v>
      </c>
      <c r="AA28" s="18">
        <v>0</v>
      </c>
      <c r="AB28" s="19">
        <f t="shared" si="1"/>
        <v>0</v>
      </c>
    </row>
    <row r="29" spans="1:28">
      <c r="Z29" s="1">
        <f>SUM(Z12:Z28)</f>
        <v>1</v>
      </c>
      <c r="AA29" s="1">
        <f>SUM(AA12:AA28)</f>
        <v>0</v>
      </c>
      <c r="AB29" s="54">
        <f>SUM(AB12:AB28)</f>
        <v>0</v>
      </c>
    </row>
    <row r="31" spans="1:28">
      <c r="A31" s="12" t="s">
        <v>17</v>
      </c>
      <c r="C31" s="1" t="s">
        <v>16</v>
      </c>
      <c r="E31" s="1" t="s">
        <v>15</v>
      </c>
      <c r="K31" s="1" t="s">
        <v>14</v>
      </c>
      <c r="S31" s="1" t="s">
        <v>13</v>
      </c>
      <c r="T31" s="1" t="s">
        <v>12</v>
      </c>
    </row>
    <row r="32" spans="1:28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79"/>
      <c r="R32" s="79"/>
      <c r="S32" s="9"/>
      <c r="T32" s="9"/>
      <c r="U32" s="9"/>
    </row>
    <row r="33" spans="1:20">
      <c r="A33" s="1" t="s">
        <v>11</v>
      </c>
      <c r="C33" s="1">
        <f>4*25.4</f>
        <v>101.6</v>
      </c>
      <c r="E33" s="1">
        <f>C6</f>
        <v>0.88900000000000001</v>
      </c>
      <c r="K33" s="11">
        <v>25.4</v>
      </c>
    </row>
    <row r="34" spans="1:20">
      <c r="A34" s="1" t="s">
        <v>10</v>
      </c>
      <c r="C34" s="1">
        <f>MODE(C12:D28)</f>
        <v>103</v>
      </c>
      <c r="E34" s="1">
        <f>MODE(E12:H28)</f>
        <v>0.88</v>
      </c>
      <c r="K34" s="1">
        <f>MODE(K12:L28)</f>
        <v>25.99</v>
      </c>
      <c r="S34" s="1">
        <f>MODE(S12:S28)</f>
        <v>31.5</v>
      </c>
      <c r="T34" s="1" t="e">
        <f>MODE(T2:T28)</f>
        <v>#N/A</v>
      </c>
    </row>
    <row r="35" spans="1:20">
      <c r="A35" s="1" t="s">
        <v>9</v>
      </c>
      <c r="C35" s="10">
        <f>AVERAGE(C12:D28)</f>
        <v>102.82352941176471</v>
      </c>
      <c r="E35" s="7">
        <f>AVERAGE(E12:H28)</f>
        <v>0.8820588235294119</v>
      </c>
      <c r="K35" s="6">
        <f>AVERAGE(K12:L28)</f>
        <v>26.026176470588236</v>
      </c>
      <c r="S35" s="9">
        <f>AVERAGE(S12:S28)</f>
        <v>31.841176470588234</v>
      </c>
      <c r="T35" s="9">
        <f>AVERAGE(T12:T28)</f>
        <v>13.491397974777332</v>
      </c>
    </row>
    <row r="36" spans="1:20">
      <c r="A36" s="1" t="s">
        <v>8</v>
      </c>
      <c r="C36" s="1">
        <f>STDEV(C12:D28)</f>
        <v>0.38695299497594743</v>
      </c>
      <c r="D36" s="248"/>
      <c r="E36" s="1">
        <f>STDEV(E12:H28)</f>
        <v>1.4409659232343925E-2</v>
      </c>
      <c r="K36" s="1">
        <f>STDEV(K12:L28)</f>
        <v>0.53708537048328364</v>
      </c>
      <c r="S36" s="1">
        <f>STDEV(S12:S28)</f>
        <v>0.57669188429504048</v>
      </c>
      <c r="T36" s="1">
        <f>STDEV(T12:T28)</f>
        <v>0.19434154155335059</v>
      </c>
    </row>
    <row r="37" spans="1:20">
      <c r="A37" s="8" t="s">
        <v>7</v>
      </c>
      <c r="D37" s="248"/>
      <c r="E37" s="7">
        <f>E35+E36</f>
        <v>0.89646848276175584</v>
      </c>
      <c r="K37" s="6">
        <f>K35+K36</f>
        <v>26.563261841071519</v>
      </c>
      <c r="S37" s="1">
        <f>S35+S36</f>
        <v>32.417868354883275</v>
      </c>
      <c r="T37" s="9">
        <f>T35+T36</f>
        <v>13.685739516330683</v>
      </c>
    </row>
    <row r="38" spans="1:20">
      <c r="A38" s="8" t="s">
        <v>6</v>
      </c>
      <c r="D38" s="248"/>
      <c r="E38" s="7">
        <f>E35-E36</f>
        <v>0.86764916429706795</v>
      </c>
      <c r="K38" s="6">
        <f>K35-K36</f>
        <v>25.489091100104954</v>
      </c>
      <c r="S38" s="1">
        <f>S35-S36</f>
        <v>31.264484586293193</v>
      </c>
      <c r="T38" s="9">
        <f>T35-T36</f>
        <v>13.297056433223981</v>
      </c>
    </row>
    <row r="39" spans="1:20">
      <c r="A39" s="1" t="s">
        <v>72</v>
      </c>
      <c r="C39" s="6">
        <f>MAX(C12:D28)-C33</f>
        <v>1.4000000000000057</v>
      </c>
      <c r="E39" s="7">
        <f>MAX(E12:H28)-E33</f>
        <v>2.1000000000000019E-2</v>
      </c>
      <c r="K39" s="6">
        <f>MAX(K12:L28)-$K33</f>
        <v>3.6300000000000026</v>
      </c>
    </row>
    <row r="40" spans="1:20">
      <c r="A40" s="1" t="s">
        <v>71</v>
      </c>
      <c r="C40" s="6">
        <f>MIN(C12:D28)-C33</f>
        <v>0.40000000000000568</v>
      </c>
      <c r="E40" s="7">
        <f>MIN(E12:H28)-E33</f>
        <v>-3.9000000000000035E-2</v>
      </c>
      <c r="K40" s="6">
        <f>MIN(K12:L28)-K33</f>
        <v>0.36000000000000298</v>
      </c>
    </row>
    <row r="41" spans="1:20" ht="15" thickBot="1"/>
    <row r="42" spans="1:20">
      <c r="A42" s="1" t="s">
        <v>3</v>
      </c>
      <c r="C42" s="5" t="s">
        <v>2</v>
      </c>
      <c r="D42" s="5" t="s">
        <v>1</v>
      </c>
    </row>
    <row r="43" spans="1:20">
      <c r="A43" s="12">
        <v>0.84</v>
      </c>
      <c r="C43" s="4">
        <v>0.84</v>
      </c>
      <c r="D43" s="3">
        <v>0</v>
      </c>
    </row>
    <row r="44" spans="1:20">
      <c r="A44" s="1">
        <f t="shared" ref="A44:A53" si="2">A43+0.01</f>
        <v>0.85</v>
      </c>
      <c r="C44" s="4">
        <v>0.85</v>
      </c>
      <c r="D44" s="3">
        <v>1</v>
      </c>
    </row>
    <row r="45" spans="1:20">
      <c r="A45" s="1">
        <f t="shared" si="2"/>
        <v>0.86</v>
      </c>
      <c r="C45" s="4">
        <v>0.86</v>
      </c>
      <c r="D45" s="3">
        <v>7</v>
      </c>
    </row>
    <row r="46" spans="1:20">
      <c r="A46" s="1">
        <f t="shared" si="2"/>
        <v>0.87</v>
      </c>
      <c r="C46" s="4">
        <v>0.87</v>
      </c>
      <c r="D46" s="3">
        <v>11</v>
      </c>
    </row>
    <row r="47" spans="1:20">
      <c r="A47" s="1">
        <f t="shared" si="2"/>
        <v>0.88</v>
      </c>
      <c r="C47" s="4">
        <v>0.88</v>
      </c>
      <c r="D47" s="3">
        <v>27</v>
      </c>
    </row>
    <row r="48" spans="1:20">
      <c r="A48" s="1">
        <f t="shared" si="2"/>
        <v>0.89</v>
      </c>
      <c r="C48" s="4">
        <v>0.89</v>
      </c>
      <c r="D48" s="3">
        <v>8</v>
      </c>
    </row>
    <row r="49" spans="1:4">
      <c r="A49" s="1">
        <f t="shared" si="2"/>
        <v>0.9</v>
      </c>
      <c r="C49" s="4">
        <v>0.9</v>
      </c>
      <c r="D49" s="3">
        <v>8</v>
      </c>
    </row>
    <row r="50" spans="1:4">
      <c r="A50" s="1">
        <f t="shared" si="2"/>
        <v>0.91</v>
      </c>
      <c r="C50" s="4">
        <v>0.91</v>
      </c>
      <c r="D50" s="3">
        <v>6</v>
      </c>
    </row>
    <row r="51" spans="1:4">
      <c r="A51" s="1">
        <f t="shared" si="2"/>
        <v>0.92</v>
      </c>
      <c r="C51" s="4">
        <v>0.92</v>
      </c>
      <c r="D51" s="3">
        <v>0</v>
      </c>
    </row>
    <row r="52" spans="1:4">
      <c r="A52" s="1">
        <f t="shared" si="2"/>
        <v>0.93</v>
      </c>
      <c r="C52" s="4">
        <v>0.93</v>
      </c>
      <c r="D52" s="3">
        <v>0</v>
      </c>
    </row>
    <row r="53" spans="1:4">
      <c r="A53" s="1">
        <f t="shared" si="2"/>
        <v>0.94000000000000006</v>
      </c>
      <c r="C53" s="4">
        <v>0.94000000000000006</v>
      </c>
      <c r="D53" s="3">
        <v>0</v>
      </c>
    </row>
    <row r="54" spans="1:4" ht="15" thickBot="1">
      <c r="C54" s="2" t="s">
        <v>0</v>
      </c>
      <c r="D54" s="2">
        <v>0</v>
      </c>
    </row>
  </sheetData>
  <mergeCells count="4">
    <mergeCell ref="C9:D9"/>
    <mergeCell ref="E9:I9"/>
    <mergeCell ref="K9:L9"/>
    <mergeCell ref="M9:Q9"/>
  </mergeCells>
  <phoneticPr fontId="16" type="noConversion"/>
  <pageMargins left="0.25" right="0.25" top="0.25" bottom="0.25" header="0.3" footer="0.3"/>
  <pageSetup orientation="landscape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40</vt:i4>
      </vt:variant>
    </vt:vector>
  </HeadingPairs>
  <TitlesOfParts>
    <vt:vector size="40" baseType="lpstr">
      <vt:lpstr>A</vt:lpstr>
      <vt:lpstr>As</vt:lpstr>
      <vt:lpstr>B</vt:lpstr>
      <vt:lpstr>Bs</vt:lpstr>
      <vt:lpstr>C</vt:lpstr>
      <vt:lpstr>C (2)</vt:lpstr>
      <vt:lpstr>D</vt:lpstr>
      <vt:lpstr>E</vt:lpstr>
      <vt:lpstr>Es</vt:lpstr>
      <vt:lpstr>F</vt:lpstr>
      <vt:lpstr>Fs</vt:lpstr>
      <vt:lpstr>G</vt:lpstr>
      <vt:lpstr>Gs</vt:lpstr>
      <vt:lpstr>H</vt:lpstr>
      <vt:lpstr>H (2)</vt:lpstr>
      <vt:lpstr>I</vt:lpstr>
      <vt:lpstr>J</vt:lpstr>
      <vt:lpstr>K</vt:lpstr>
      <vt:lpstr>Ks</vt:lpstr>
      <vt:lpstr>A Bundles</vt:lpstr>
      <vt:lpstr>As Bundles</vt:lpstr>
      <vt:lpstr>B Bundles</vt:lpstr>
      <vt:lpstr>Bs Bundles</vt:lpstr>
      <vt:lpstr>C Bundles</vt:lpstr>
      <vt:lpstr>Cs Bundles</vt:lpstr>
      <vt:lpstr>D Bundles</vt:lpstr>
      <vt:lpstr>E Bundles</vt:lpstr>
      <vt:lpstr>F Bundles</vt:lpstr>
      <vt:lpstr>G Bundles</vt:lpstr>
      <vt:lpstr>Gs Bundles</vt:lpstr>
      <vt:lpstr>H Bundles</vt:lpstr>
      <vt:lpstr>Hs Bundles</vt:lpstr>
      <vt:lpstr>I Bundles</vt:lpstr>
      <vt:lpstr>Is Bundles</vt:lpstr>
      <vt:lpstr>J Bundles</vt:lpstr>
      <vt:lpstr>K Bundles</vt:lpstr>
      <vt:lpstr>L Bundles</vt:lpstr>
      <vt:lpstr>M Bundles</vt:lpstr>
      <vt:lpstr>Ms Bundles</vt:lpstr>
      <vt:lpstr>Slat Widths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</dc:creator>
  <cp:lastModifiedBy>Bob</cp:lastModifiedBy>
  <cp:lastPrinted>2013-07-26T22:23:04Z</cp:lastPrinted>
  <dcterms:created xsi:type="dcterms:W3CDTF">2013-07-26T21:18:19Z</dcterms:created>
  <dcterms:modified xsi:type="dcterms:W3CDTF">2013-09-13T21:02:52Z</dcterms:modified>
</cp:coreProperties>
</file>