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malofsna/Library/Mobile Documents/com~apple~CloudDocs/Desktop/Curex Aug 2025/RA Capital Recruiting Sept 2025/"/>
    </mc:Choice>
  </mc:AlternateContent>
  <xr:revisionPtr revIDLastSave="0" documentId="8_{A413D94F-C95F-024D-B2BB-13F3F83DD3F1}" xr6:coauthVersionLast="47" xr6:coauthVersionMax="47" xr10:uidLastSave="{00000000-0000-0000-0000-000000000000}"/>
  <bookViews>
    <workbookView xWindow="49960" yWindow="1640" windowWidth="17480" windowHeight="19280" xr2:uid="{577CC4DE-4DBD-467B-917E-70C50D62A774}"/>
  </bookViews>
  <sheets>
    <sheet name="Revenue Model for NPV per share" sheetId="1" r:id="rId1"/>
    <sheet name="Valuation via Forecasting Ratio" sheetId="7" r:id="rId2"/>
    <sheet name="RA-guided Valuation - Lead Only" sheetId="9"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 i="7" l="1"/>
  <c r="D107" i="1"/>
  <c r="T84" i="1"/>
  <c r="T85" i="1" s="1"/>
  <c r="T86" i="1" s="1"/>
  <c r="T80" i="1"/>
  <c r="T75" i="1" s="1"/>
  <c r="T81" i="1" s="1"/>
  <c r="T69" i="1"/>
  <c r="T64" i="1"/>
  <c r="T65" i="1"/>
  <c r="T67" i="1"/>
  <c r="T70" i="1"/>
  <c r="T57" i="1"/>
  <c r="T52" i="1"/>
  <c r="T53" i="1"/>
  <c r="T55" i="1"/>
  <c r="T58" i="1"/>
  <c r="T40" i="1"/>
  <c r="T41" i="1"/>
  <c r="T44" i="1"/>
  <c r="T43" i="1" s="1"/>
  <c r="T46" i="1" s="1"/>
  <c r="T45" i="1"/>
  <c r="T28" i="1"/>
  <c r="T29" i="1"/>
  <c r="T32" i="1"/>
  <c r="T31" i="1" s="1"/>
  <c r="T34" i="1" s="1"/>
  <c r="T33" i="1"/>
  <c r="T15" i="1"/>
  <c r="T16" i="1"/>
  <c r="T19" i="1"/>
  <c r="T18" i="1" s="1"/>
  <c r="T21" i="1" s="1"/>
  <c r="T20" i="1"/>
  <c r="T3" i="1"/>
  <c r="T4" i="1"/>
  <c r="T7" i="1"/>
  <c r="T6" i="1" s="1"/>
  <c r="T8" i="1"/>
  <c r="M3" i="7"/>
  <c r="N6" i="9"/>
  <c r="L6" i="9"/>
  <c r="I3" i="7"/>
  <c r="E6" i="9"/>
  <c r="S9" i="1"/>
  <c r="F6" i="9"/>
  <c r="D6" i="9"/>
  <c r="G6" i="9" s="1"/>
  <c r="J6" i="9" s="1"/>
  <c r="E8" i="7"/>
  <c r="D8" i="7"/>
  <c r="E7" i="7"/>
  <c r="D7" i="7"/>
  <c r="E6" i="7"/>
  <c r="D6" i="7"/>
  <c r="F6" i="7" s="1"/>
  <c r="E5" i="7"/>
  <c r="D5" i="7"/>
  <c r="E4" i="7"/>
  <c r="D4" i="7"/>
  <c r="E3" i="7"/>
  <c r="D3" i="7"/>
  <c r="F3" i="7" s="1"/>
  <c r="F8" i="7"/>
  <c r="F7" i="7"/>
  <c r="L4" i="7"/>
  <c r="L5" i="7" s="1"/>
  <c r="L6" i="7" s="1"/>
  <c r="L7" i="7" s="1"/>
  <c r="L8" i="7" s="1"/>
  <c r="F85" i="1"/>
  <c r="F86" i="1" s="1"/>
  <c r="G85" i="1"/>
  <c r="G86" i="1" s="1"/>
  <c r="H85" i="1"/>
  <c r="H86" i="1" s="1"/>
  <c r="I85" i="1"/>
  <c r="I86" i="1" s="1"/>
  <c r="E85" i="1"/>
  <c r="S69" i="1"/>
  <c r="Q57" i="1"/>
  <c r="R57" i="1" s="1"/>
  <c r="S57" i="1" s="1"/>
  <c r="P57" i="1"/>
  <c r="O45" i="1"/>
  <c r="P45" i="1" s="1"/>
  <c r="Q45" i="1" s="1"/>
  <c r="R45" i="1" s="1"/>
  <c r="S45" i="1" s="1"/>
  <c r="M33" i="1"/>
  <c r="N33" i="1" s="1"/>
  <c r="O33" i="1" s="1"/>
  <c r="P33" i="1" s="1"/>
  <c r="Q33" i="1" s="1"/>
  <c r="R33" i="1" s="1"/>
  <c r="S33" i="1" s="1"/>
  <c r="M20" i="1"/>
  <c r="N20" i="1" s="1"/>
  <c r="O20" i="1" s="1"/>
  <c r="P20" i="1" s="1"/>
  <c r="Q20" i="1" s="1"/>
  <c r="R20" i="1" s="1"/>
  <c r="S20" i="1" s="1"/>
  <c r="P8" i="1"/>
  <c r="Q8" i="1"/>
  <c r="R8" i="1"/>
  <c r="S8" i="1"/>
  <c r="O8" i="1"/>
  <c r="N8" i="1"/>
  <c r="M8" i="1"/>
  <c r="L8" i="1"/>
  <c r="C67" i="1"/>
  <c r="R67" i="1" s="1"/>
  <c r="S67" i="1" s="1"/>
  <c r="C53" i="1"/>
  <c r="C29" i="1"/>
  <c r="C52" i="1"/>
  <c r="C18" i="1"/>
  <c r="C6" i="1"/>
  <c r="E84" i="1"/>
  <c r="K8" i="1"/>
  <c r="C64" i="1"/>
  <c r="C65" i="1" s="1"/>
  <c r="E65" i="1" s="1"/>
  <c r="O55" i="1"/>
  <c r="P55" i="1" s="1"/>
  <c r="E53" i="1"/>
  <c r="F53" i="1" s="1"/>
  <c r="G53" i="1" s="1"/>
  <c r="H53" i="1" s="1"/>
  <c r="I53" i="1" s="1"/>
  <c r="J53" i="1" s="1"/>
  <c r="K53" i="1" s="1"/>
  <c r="L53" i="1" s="1"/>
  <c r="M53" i="1" s="1"/>
  <c r="N53" i="1" s="1"/>
  <c r="O53" i="1" s="1"/>
  <c r="P53" i="1" s="1"/>
  <c r="Q53" i="1" s="1"/>
  <c r="R53" i="1" s="1"/>
  <c r="S53" i="1" s="1"/>
  <c r="O44" i="1"/>
  <c r="P44" i="1" s="1"/>
  <c r="Q44" i="1" s="1"/>
  <c r="R44" i="1" s="1"/>
  <c r="S44" i="1" s="1"/>
  <c r="N43" i="1"/>
  <c r="O43" i="1" s="1"/>
  <c r="P43" i="1" s="1"/>
  <c r="Q43" i="1" s="1"/>
  <c r="R43" i="1" s="1"/>
  <c r="S43" i="1" s="1"/>
  <c r="L31" i="1"/>
  <c r="M31" i="1" s="1"/>
  <c r="N31" i="1" s="1"/>
  <c r="E29" i="1"/>
  <c r="F29" i="1" s="1"/>
  <c r="G29" i="1" s="1"/>
  <c r="H29" i="1" s="1"/>
  <c r="I29" i="1" s="1"/>
  <c r="J29" i="1" s="1"/>
  <c r="K29" i="1" s="1"/>
  <c r="L29" i="1" s="1"/>
  <c r="M29" i="1" s="1"/>
  <c r="N29" i="1" s="1"/>
  <c r="O29" i="1" s="1"/>
  <c r="P29" i="1" s="1"/>
  <c r="Q29" i="1" s="1"/>
  <c r="R29" i="1" s="1"/>
  <c r="S29" i="1" s="1"/>
  <c r="C40" i="1"/>
  <c r="C28" i="1"/>
  <c r="E28" i="1" s="1"/>
  <c r="I84" i="1"/>
  <c r="L18" i="1"/>
  <c r="M18" i="1" s="1"/>
  <c r="N18" i="1" s="1"/>
  <c r="C4" i="1"/>
  <c r="C15" i="1"/>
  <c r="E15" i="1" s="1"/>
  <c r="E52" i="1"/>
  <c r="E41" i="1"/>
  <c r="E40" i="1"/>
  <c r="O32" i="1"/>
  <c r="P32" i="1" s="1"/>
  <c r="Q32" i="1" s="1"/>
  <c r="R32" i="1" s="1"/>
  <c r="S32" i="1" s="1"/>
  <c r="O19" i="1"/>
  <c r="P19" i="1" s="1"/>
  <c r="Q19" i="1" s="1"/>
  <c r="R19" i="1" s="1"/>
  <c r="S19" i="1" s="1"/>
  <c r="E16" i="1"/>
  <c r="F81" i="1"/>
  <c r="F84" i="1" s="1"/>
  <c r="G81" i="1"/>
  <c r="G84" i="1" s="1"/>
  <c r="H81" i="1"/>
  <c r="H84" i="1" s="1"/>
  <c r="I81" i="1"/>
  <c r="E81" i="1"/>
  <c r="J75" i="1"/>
  <c r="J81" i="1" s="1"/>
  <c r="K80" i="1"/>
  <c r="L80" i="1" s="1"/>
  <c r="M80" i="1" s="1"/>
  <c r="N80" i="1" s="1"/>
  <c r="O80" i="1" s="1"/>
  <c r="P80" i="1" s="1"/>
  <c r="Q80" i="1" s="1"/>
  <c r="R80" i="1" s="1"/>
  <c r="S80" i="1" s="1"/>
  <c r="G79" i="1"/>
  <c r="H79" i="1"/>
  <c r="I79" i="1"/>
  <c r="F79" i="1"/>
  <c r="J6" i="1"/>
  <c r="K6" i="1" s="1"/>
  <c r="L6" i="1" s="1"/>
  <c r="M6" i="1" s="1"/>
  <c r="N6" i="1" s="1"/>
  <c r="T9" i="1" l="1"/>
  <c r="F5" i="7"/>
  <c r="F4" i="7"/>
  <c r="I4" i="7"/>
  <c r="I5" i="7" s="1"/>
  <c r="I6" i="7" s="1"/>
  <c r="I7" i="7" s="1"/>
  <c r="I8" i="7" s="1"/>
  <c r="J8" i="7" s="1"/>
  <c r="E86" i="1"/>
  <c r="E64" i="1"/>
  <c r="O31" i="1"/>
  <c r="P31" i="1" s="1"/>
  <c r="Q31" i="1" s="1"/>
  <c r="R31" i="1" s="1"/>
  <c r="S31" i="1" s="1"/>
  <c r="Q55" i="1"/>
  <c r="F52" i="1"/>
  <c r="G52" i="1" s="1"/>
  <c r="H52" i="1" s="1"/>
  <c r="I52" i="1" s="1"/>
  <c r="J52" i="1" s="1"/>
  <c r="K52" i="1" s="1"/>
  <c r="D108" i="1"/>
  <c r="F65" i="1"/>
  <c r="G65" i="1" s="1"/>
  <c r="H65" i="1" s="1"/>
  <c r="I65" i="1" s="1"/>
  <c r="J65" i="1" s="1"/>
  <c r="K65" i="1" s="1"/>
  <c r="L65" i="1" s="1"/>
  <c r="M65" i="1" s="1"/>
  <c r="N65" i="1" s="1"/>
  <c r="O65" i="1" s="1"/>
  <c r="P65" i="1" s="1"/>
  <c r="Q65" i="1" s="1"/>
  <c r="R65" i="1" s="1"/>
  <c r="S65" i="1" s="1"/>
  <c r="F64" i="1"/>
  <c r="F41" i="1"/>
  <c r="G41" i="1" s="1"/>
  <c r="H41" i="1" s="1"/>
  <c r="I41" i="1" s="1"/>
  <c r="J41" i="1" s="1"/>
  <c r="K41" i="1" s="1"/>
  <c r="L41" i="1" s="1"/>
  <c r="M41" i="1" s="1"/>
  <c r="N41" i="1" s="1"/>
  <c r="O41" i="1" s="1"/>
  <c r="P41" i="1" s="1"/>
  <c r="Q41" i="1" s="1"/>
  <c r="R41" i="1" s="1"/>
  <c r="S41" i="1" s="1"/>
  <c r="F40" i="1"/>
  <c r="G40" i="1" s="1"/>
  <c r="H40" i="1" s="1"/>
  <c r="I40" i="1" s="1"/>
  <c r="J40" i="1" s="1"/>
  <c r="F28" i="1"/>
  <c r="G28" i="1" s="1"/>
  <c r="H28" i="1" s="1"/>
  <c r="I28" i="1" s="1"/>
  <c r="J28" i="1" s="1"/>
  <c r="O18" i="1"/>
  <c r="P18" i="1" s="1"/>
  <c r="Q18" i="1" s="1"/>
  <c r="R18" i="1" s="1"/>
  <c r="S18" i="1" s="1"/>
  <c r="F16" i="1"/>
  <c r="G16" i="1" s="1"/>
  <c r="H16" i="1" s="1"/>
  <c r="I16" i="1" s="1"/>
  <c r="J16" i="1" s="1"/>
  <c r="K16" i="1" s="1"/>
  <c r="L16" i="1" s="1"/>
  <c r="M16" i="1" s="1"/>
  <c r="N16" i="1" s="1"/>
  <c r="O16" i="1" s="1"/>
  <c r="P16" i="1" s="1"/>
  <c r="Q16" i="1" s="1"/>
  <c r="R16" i="1" s="1"/>
  <c r="S16" i="1" s="1"/>
  <c r="F15" i="1"/>
  <c r="K75" i="1"/>
  <c r="J4" i="7" l="1"/>
  <c r="J7" i="7"/>
  <c r="J6" i="7"/>
  <c r="J5" i="7"/>
  <c r="R55" i="1"/>
  <c r="G64" i="1"/>
  <c r="H64" i="1" s="1"/>
  <c r="I64" i="1" s="1"/>
  <c r="J64" i="1" s="1"/>
  <c r="K64" i="1" s="1"/>
  <c r="G15" i="1"/>
  <c r="H15" i="1" s="1"/>
  <c r="I15" i="1" s="1"/>
  <c r="J15" i="1" s="1"/>
  <c r="K15" i="1" s="1"/>
  <c r="K28" i="1"/>
  <c r="L28" i="1" s="1"/>
  <c r="L34" i="1" s="1"/>
  <c r="L52" i="1"/>
  <c r="K40" i="1"/>
  <c r="L75" i="1"/>
  <c r="K81" i="1"/>
  <c r="K3" i="7" l="1"/>
  <c r="S55" i="1"/>
  <c r="M52" i="1"/>
  <c r="L64" i="1"/>
  <c r="L40" i="1"/>
  <c r="M28" i="1"/>
  <c r="M75" i="1"/>
  <c r="L81" i="1"/>
  <c r="L15" i="1"/>
  <c r="L21" i="1" s="1"/>
  <c r="M4" i="7" l="1"/>
  <c r="M5" i="7" s="1"/>
  <c r="M6" i="7" s="1"/>
  <c r="M7" i="7" s="1"/>
  <c r="M8" i="7" s="1"/>
  <c r="K4" i="7"/>
  <c r="K5" i="7" s="1"/>
  <c r="K6" i="7" s="1"/>
  <c r="K7" i="7" s="1"/>
  <c r="K8" i="7" s="1"/>
  <c r="M64" i="1"/>
  <c r="N52" i="1"/>
  <c r="M40" i="1"/>
  <c r="M34" i="1"/>
  <c r="N28" i="1"/>
  <c r="M15" i="1"/>
  <c r="N75" i="1"/>
  <c r="M81" i="1"/>
  <c r="O52" i="1" l="1"/>
  <c r="O58" i="1" s="1"/>
  <c r="N64" i="1"/>
  <c r="N40" i="1"/>
  <c r="N46" i="1" s="1"/>
  <c r="N34" i="1"/>
  <c r="O28" i="1"/>
  <c r="O75" i="1"/>
  <c r="N81" i="1"/>
  <c r="M21" i="1"/>
  <c r="N15" i="1"/>
  <c r="P52" i="1" l="1"/>
  <c r="P58" i="1" s="1"/>
  <c r="O64" i="1"/>
  <c r="O40" i="1"/>
  <c r="O34" i="1"/>
  <c r="P28" i="1"/>
  <c r="N21" i="1"/>
  <c r="O15" i="1"/>
  <c r="P75" i="1"/>
  <c r="O81" i="1"/>
  <c r="Q52" i="1" l="1"/>
  <c r="Q58" i="1" s="1"/>
  <c r="P64" i="1"/>
  <c r="O46" i="1"/>
  <c r="P40" i="1"/>
  <c r="Q28" i="1"/>
  <c r="P34" i="1"/>
  <c r="Q75" i="1"/>
  <c r="P81" i="1"/>
  <c r="O21" i="1"/>
  <c r="P15" i="1"/>
  <c r="Q64" i="1" l="1"/>
  <c r="R52" i="1"/>
  <c r="R58" i="1" s="1"/>
  <c r="P46" i="1"/>
  <c r="Q40" i="1"/>
  <c r="Q34" i="1"/>
  <c r="R28" i="1"/>
  <c r="P21" i="1"/>
  <c r="Q15" i="1"/>
  <c r="R75" i="1"/>
  <c r="Q81" i="1"/>
  <c r="R64" i="1" l="1"/>
  <c r="R70" i="1" s="1"/>
  <c r="S52" i="1"/>
  <c r="S58" i="1" s="1"/>
  <c r="Q46" i="1"/>
  <c r="R40" i="1"/>
  <c r="R34" i="1"/>
  <c r="S28" i="1"/>
  <c r="S34" i="1" s="1"/>
  <c r="S75" i="1"/>
  <c r="S81" i="1" s="1"/>
  <c r="R81" i="1"/>
  <c r="R15" i="1"/>
  <c r="Q21" i="1"/>
  <c r="S64" i="1" l="1"/>
  <c r="S70" i="1" s="1"/>
  <c r="R46" i="1"/>
  <c r="S40" i="1"/>
  <c r="S46" i="1" s="1"/>
  <c r="R21" i="1"/>
  <c r="S15" i="1"/>
  <c r="S21" i="1" s="1"/>
  <c r="E3" i="1" l="1"/>
  <c r="E4" i="1"/>
  <c r="F4" i="1" s="1"/>
  <c r="G4" i="1" s="1"/>
  <c r="H4" i="1" s="1"/>
  <c r="I4" i="1" s="1"/>
  <c r="J4" i="1" s="1"/>
  <c r="K4" i="1" s="1"/>
  <c r="L4" i="1" s="1"/>
  <c r="M4" i="1" s="1"/>
  <c r="N4" i="1" s="1"/>
  <c r="O4" i="1" s="1"/>
  <c r="P4" i="1" s="1"/>
  <c r="Q4" i="1" s="1"/>
  <c r="R4" i="1" s="1"/>
  <c r="S4" i="1" s="1"/>
  <c r="O7" i="1"/>
  <c r="P7" i="1" l="1"/>
  <c r="Q7" i="1" s="1"/>
  <c r="R7" i="1" s="1"/>
  <c r="S7" i="1" s="1"/>
  <c r="O6" i="1"/>
  <c r="P6" i="1" s="1"/>
  <c r="Q6" i="1" s="1"/>
  <c r="R6" i="1" s="1"/>
  <c r="S6" i="1" s="1"/>
  <c r="F3" i="1"/>
  <c r="G3" i="1" l="1"/>
  <c r="H3" i="1" s="1"/>
  <c r="I3" i="1" l="1"/>
  <c r="J3" i="1" l="1"/>
  <c r="J9" i="1" s="1"/>
  <c r="J84" i="1" s="1"/>
  <c r="J85" i="1" l="1"/>
  <c r="J86" i="1" s="1"/>
  <c r="K3" i="1"/>
  <c r="K9" i="1" s="1"/>
  <c r="K84" i="1" s="1"/>
  <c r="K85" i="1" l="1"/>
  <c r="K86" i="1" s="1"/>
  <c r="L3" i="1"/>
  <c r="L9" i="1" s="1"/>
  <c r="L84" i="1" s="1"/>
  <c r="L85" i="1" l="1"/>
  <c r="L86" i="1" s="1"/>
  <c r="M3" i="1"/>
  <c r="M9" i="1" s="1"/>
  <c r="M84" i="1" s="1"/>
  <c r="M85" i="1" l="1"/>
  <c r="M86" i="1" s="1"/>
  <c r="N3" i="1"/>
  <c r="N9" i="1" s="1"/>
  <c r="N84" i="1" s="1"/>
  <c r="N85" i="1" l="1"/>
  <c r="N86" i="1" s="1"/>
  <c r="O3" i="1"/>
  <c r="O9" i="1" s="1"/>
  <c r="O84" i="1" s="1"/>
  <c r="O85" i="1" l="1"/>
  <c r="O86" i="1" s="1"/>
  <c r="P3" i="1"/>
  <c r="P9" i="1" s="1"/>
  <c r="P84" i="1" s="1"/>
  <c r="P85" i="1" l="1"/>
  <c r="P86" i="1" s="1"/>
  <c r="Q3" i="1"/>
  <c r="Q9" i="1" s="1"/>
  <c r="Q84" i="1" s="1"/>
  <c r="Q85" i="1" l="1"/>
  <c r="Q86" i="1" s="1"/>
  <c r="R3" i="1"/>
  <c r="R9" i="1" s="1"/>
  <c r="R84" i="1" s="1"/>
  <c r="R85" i="1" l="1"/>
  <c r="R86" i="1" s="1"/>
  <c r="S3" i="1"/>
  <c r="S84" i="1" s="1"/>
  <c r="S85" i="1" l="1"/>
  <c r="S86" i="1" s="1"/>
  <c r="D101" i="1" l="1"/>
  <c r="D103" i="1" s="1"/>
</calcChain>
</file>

<file path=xl/sharedStrings.xml><?xml version="1.0" encoding="utf-8"?>
<sst xmlns="http://schemas.openxmlformats.org/spreadsheetml/2006/main" count="218" uniqueCount="143">
  <si>
    <t>Prevalence of Disease 1</t>
  </si>
  <si>
    <t>Disease growth rate 1</t>
  </si>
  <si>
    <t>Prevalence of Disease 2</t>
  </si>
  <si>
    <t>Disease growth rate 2</t>
  </si>
  <si>
    <t>Price Increase 1</t>
  </si>
  <si>
    <t>Price Increase 2</t>
  </si>
  <si>
    <t>Market penetration</t>
  </si>
  <si>
    <t>Revenue for Therapy 1</t>
  </si>
  <si>
    <t>Revenue for Therapy 2</t>
  </si>
  <si>
    <t>Total Revenue</t>
  </si>
  <si>
    <t>Prevalence of Disease 3</t>
  </si>
  <si>
    <t>Disease growth rate 3</t>
  </si>
  <si>
    <t>Price Increase 3</t>
  </si>
  <si>
    <t>Revenue for Therapy 3</t>
  </si>
  <si>
    <t>Prevalence of Disease 4</t>
  </si>
  <si>
    <t>Disease growth rate 4</t>
  </si>
  <si>
    <t>Price Increase 4</t>
  </si>
  <si>
    <t>Revenue for Therapy 4</t>
  </si>
  <si>
    <t xml:space="preserve">Penet when approved! </t>
  </si>
  <si>
    <t>Discount rate</t>
  </si>
  <si>
    <t>Shares Outstanding</t>
  </si>
  <si>
    <t>NPV/Share</t>
  </si>
  <si>
    <t>Current Price</t>
  </si>
  <si>
    <t>Cash Flow Margin</t>
  </si>
  <si>
    <t>NPV, 10yr</t>
  </si>
  <si>
    <t>Pen grows .3% here (.003)</t>
  </si>
  <si>
    <t>TAM</t>
  </si>
  <si>
    <t>Paltusotine</t>
  </si>
  <si>
    <t>Assume approval late 2025</t>
  </si>
  <si>
    <t>Annual Price of Therapy 1</t>
  </si>
  <si>
    <t xml:space="preserve"> 3k new cases of acromegaly per year, prevalence of about 27k acromegaly patients in the U.S. - https://www.sciencedirect.com/science/article/abs/pii/S1530891X20355919?via%3Dihub and </t>
  </si>
  <si>
    <t>PDUFA date 9/25/25 with promising P3 data and no FDA advisory panel required</t>
  </si>
  <si>
    <t>source: https://finance.yahoo.com/quote/CRNX/key-statistics/</t>
  </si>
  <si>
    <t xml:space="preserve">Approx 0.002 penetration - ideally would choose penetration to match net rev but no demonstrated rev so assume		</t>
  </si>
  <si>
    <t>Other revenues via licensing, clinical supply, and grants</t>
  </si>
  <si>
    <t>10K: License rev derived from the majority equity stake obtained in Radionetics, derived from the Sanwa License - clinical supply rev from Company and Sanwa, entered into a clinical supply agreement - grant rev via SBIR Grants, awarded to us by the National Institute of Diabetes and Digestive and Kidney Diseases of the National Institutes of Health -  https://s206.q4cdn.com/492797646/files/doc_financials/2022/ar/00fb9a10-de87-4fca-810e-7dd09564665d.pdf</t>
  </si>
  <si>
    <t>Total revenues</t>
  </si>
  <si>
    <t>Licensing, Clinical supply, and grants (all non-asset-generated revenue)</t>
  </si>
  <si>
    <t>net revenue</t>
  </si>
  <si>
    <t>Assume 0.3% rate but will vary per Sanwa Paltusotine licensing agreement in Japan</t>
  </si>
  <si>
    <t>Rev increase</t>
  </si>
  <si>
    <t>Revenue for licensing, clinical supply, grants</t>
  </si>
  <si>
    <t>US prevalence per CRNX and dasari et al at 33000 for NETs - ? 10% of NETs result in carcinoid syndrome per CRNX - https://crinetics.com/carcinoid-syndrome-symptoms-diagnosis-treatment/ - https://pmc.ncbi.nlm.nih.gov/articles/PMC5824320/</t>
  </si>
  <si>
    <t>SEER data from 2000 to 2018 found the overall annual age-adjusted incidence rate of NETs increased by 3.4% per year. - https://www.cancercenter.com/risk-factors/carcinoid-syndrome#:~:text=Carcinoid%20syndrome%20risk%20factors,incidence%20has%20gone%20up%20sevenfold.</t>
  </si>
  <si>
    <t>Assume approval 2027</t>
  </si>
  <si>
    <t>Total CRNX accessible patients</t>
  </si>
  <si>
    <t>Annual Price of Therapy 2</t>
  </si>
  <si>
    <t>Annual Price of Therapy 3</t>
  </si>
  <si>
    <t>Annual Price of Therapy 4</t>
  </si>
  <si>
    <t>Prevalence of Disease 5</t>
  </si>
  <si>
    <t>Disease growth rate 5</t>
  </si>
  <si>
    <t>Annual Price of Therapy 5</t>
  </si>
  <si>
    <t>Price Increase 5</t>
  </si>
  <si>
    <t>Revenue for Therapy 5</t>
  </si>
  <si>
    <t>Prevalence of Disease 6</t>
  </si>
  <si>
    <t>Disease growth rate 6</t>
  </si>
  <si>
    <t>Annual Price of Therapy 6</t>
  </si>
  <si>
    <t>Price Increase 6</t>
  </si>
  <si>
    <t>Revenue for Therapy 6</t>
  </si>
  <si>
    <t>most common form of CAH, found in 1:16 000 newborns, is 21OHD
https://pmc.ncbi.nlm.nih.gov/articles/PMC3701266/
US 2023 18+ pop = 262M
US 2023 under 18 pop = 72.8M
https://datacenter.aecf.org/data/tables/99-total-population-by-child-and-adult-populations#detailed/1/any/false/2545/39,40,41/416,417</t>
  </si>
  <si>
    <t>Crenessity: March 2025 approval of oral Tx for CAH 
- Both Crenessity and Atumelnant drugs are adjunctive therapies designed to improve androgen control and reduce the high doses of glucocorticoids traditionally used to manage the condition. 
US list price for Crenessity at approximately $38,333 for a 30-day supply for adults ($460,000 annually). For pediatric patients weighing less than 20 kilograms, the 30-day supply is priced at about $19,167 ($230,000annually).
^ https://antonhealth.com/fda-approves-oral-tx-for-rare-cah-crenessity/#:~:text=Crenessity%20was%20granted%20an%20Orphan,about%20$19%2C167%20($230%2C000annually).</t>
  </si>
  <si>
    <t>P2/3 only in adults…
US 2023 18+ pop = 262M
US 2023 under 18 pop = 72.8M
^ https://datacenter.aecf.org/data/tables/99-total-population-by-child-and-adult-populations#detailed/1/any/false/2545/39,40,41/416,417
Endogenous Cushing’s syndrome is rare, with an incidence of 0.7–2.4 per million population per year.
ACTH-dependent Cushing’s syndrome accounts for 80%–85% of cases
^https://pmc.ncbi.nlm.nih.gov/articles/PMC4407747/</t>
  </si>
  <si>
    <t>Increased 4.8 to 7.8 avg newborns with condition from 1960s to 2010 so on avg 3 per 50 years = 0.06</t>
  </si>
  <si>
    <t>PDUFA 9/25/2025</t>
  </si>
  <si>
    <t>Phase 3</t>
  </si>
  <si>
    <t>POS % (stage = registration)</t>
  </si>
  <si>
    <t>POS % (stage = P3)</t>
  </si>
  <si>
    <t>POS % (stage = P2)</t>
  </si>
  <si>
    <t>POS % (stage = P1/2)</t>
  </si>
  <si>
    <t>Phase 2</t>
  </si>
  <si>
    <t>Phase 1/2</t>
  </si>
  <si>
    <t>CAREFNDR Phase 3 trial of paltusotine in carcinoid syndrome starting 2025-08 and ends 2030-01 but acromegaly P3 ran 2021-2028 and set for acromegaly PDUFA 2025 so estimate 2027 carcinoid approval</t>
  </si>
  <si>
    <t>Similar assumption to Paltusotine carcinaoid P3 est of 2027 approval - Expects to initiate the CALM-CAH Phase 3 study in adults with CAH and the BALANCE-CAH Phase 2/3 study in pediatrics in the second half of 2025</t>
  </si>
  <si>
    <t>Assume approval 2029</t>
  </si>
  <si>
    <t>Similar assumption to Paltusotine carcinaoid P3 est of 2027 approval but add 2 years bc P2/3 not P3 - Expects to initiate the CALM-CAH Phase 3 study in adults with CAH and the BALANCE-CAH Phase 2/3 study in pediatrics in the second half of 2025</t>
  </si>
  <si>
    <t>Same cost as CAH adult bc same drug and also adult only in trials thus far</t>
  </si>
  <si>
    <t>Incidence of 0.7 per 200K people with 80% being ACTH-dependent - https://www.frontiersin.org/journals/endocrinology/articles/10.3389/fendo.2019.00766/full</t>
  </si>
  <si>
    <t>Assume approval 2030</t>
  </si>
  <si>
    <t>Slightly behind CAH peds so assume 1 year after and use 2030 bc Initiation of cushing Phase 2/3 study is expected to begin in the first half of 2026</t>
  </si>
  <si>
    <t>Study inclusion criteria: Adults with Progressive Metastatic Somatostatin Receptor Type 2 (SST2)-Expressing Neuroendocrine Neoplasms (NENs) and Other SST2-Expressing Solid Tumors
^ https://clinicaltrials.gov/study/NCT07129252</t>
  </si>
  <si>
    <t>Approx 22902 new SST2-expressing NET diagnoses annually in US - take 10% to be conservative in est</t>
  </si>
  <si>
    <t>Launching P1/2 in near future so far out approval of 2033</t>
  </si>
  <si>
    <t>Assume approval 2033</t>
  </si>
  <si>
    <t>Biotech industry multiplier</t>
  </si>
  <si>
    <t>Annual price of competitor oral Octreotide for acromegaly - but upcharge bc of Orphan drug designation with new MOA - https://www.sciencedirect.com/science/article/abs/pii/S1530891X22004888</t>
  </si>
  <si>
    <t>Diagnoses as babies so likely very low growth rate in diagnoses - half rate of peds</t>
  </si>
  <si>
    <t>Most similar MOA would be a solid tumor ADC like Elahere for ovarian cancer - administered every 3 weeks at 3-4 vials per treatment cycle at 6220 per 20mg dose - but upcharge bc of Orphan drug designation with new MOA
^ https://antonhealth.com/fda-approves-new-iv-tx-for-cancers-elahere/</t>
  </si>
  <si>
    <t>Paltusotine (oral sst2 agonist) - Acromegaly</t>
  </si>
  <si>
    <t>Paltusotine (oral sst2 agonist) - carcinoid syndrome (associated with neuroendocrine tumors, NETs)</t>
  </si>
  <si>
    <t>Atumelnant (Oral ACTH Antagonist via MC2R) - Congenital Adrenal Hyperplasia (CAH) in adults</t>
  </si>
  <si>
    <t>Atumelnant (Oral ACTH Antagonist via MC2R) - Congenital Adrenal Hyperplasia (CAH) in pediatrics</t>
  </si>
  <si>
    <t>Atumelnant (Oral ACTH Antagonist via MC2R) - ACTH-dependent Cushing’s syndrome</t>
  </si>
  <si>
    <t>CRN09682 (Nonpeptide drug conjugate platform) - NETs and SST2-expressing solid tumors</t>
  </si>
  <si>
    <t>Pen grows .7% here (.007)</t>
  </si>
  <si>
    <t>Pen grows 1% here (.01)</t>
  </si>
  <si>
    <t>Pen grows 1.2% here (.012)</t>
  </si>
  <si>
    <t>Pen grows 1.5% here (.015) on out</t>
  </si>
  <si>
    <t>Asset Name</t>
  </si>
  <si>
    <t>MOA</t>
  </si>
  <si>
    <t>Indication</t>
  </si>
  <si>
    <t>TAM ($)</t>
  </si>
  <si>
    <t>Phase (P)</t>
  </si>
  <si>
    <t>Total TAM ($)</t>
  </si>
  <si>
    <t>POS weighted by TAMs</t>
  </si>
  <si>
    <t>Sum of weighted POS</t>
  </si>
  <si>
    <t>Market Cap ($)</t>
  </si>
  <si>
    <t>oral sst2 agonist</t>
  </si>
  <si>
    <t>acromegaly</t>
  </si>
  <si>
    <t>Registration - PDUFA Sept 25, 2025</t>
  </si>
  <si>
    <t>carcinoid syndrome (associated with neuroendocrine tumors, NETs)</t>
  </si>
  <si>
    <t>P3</t>
  </si>
  <si>
    <t>atumelnant (CRN04894)</t>
  </si>
  <si>
    <t>Oral ACTH Antagonist via MC2R</t>
  </si>
  <si>
    <t>Congenital Adrenal Hyperplasia (CAH) - adult</t>
  </si>
  <si>
    <t>Congenital Adrenal Hyperplasia (CAH) - pediatric</t>
  </si>
  <si>
    <t>P2</t>
  </si>
  <si>
    <t>ACTH-dependent Cushing’s syndrome</t>
  </si>
  <si>
    <t>CRN09682</t>
  </si>
  <si>
    <t>Nonpeptide drug conjugate</t>
  </si>
  <si>
    <t>NETs and SST2-expressing solid tumors</t>
  </si>
  <si>
    <t>P1/2</t>
  </si>
  <si>
    <t xml:space="preserve"> </t>
  </si>
  <si>
    <t xml:space="preserve">See Rev Model tab for sources! </t>
  </si>
  <si>
    <t>It is the marketcap of the company divided by the sum of probability of success weighted TAMs of each of the assets in pipeline.</t>
  </si>
  <si>
    <t>Where TAM = total addressable market, and PoS = probability of success.</t>
  </si>
  <si>
    <t>The ratio essentially compares the company's current value to its potential future value.
A low Forecasting Ratio (less than 1): This could suggest that the market is currently undervaluing the company's future potential. It implies that the company's market cap is less than its potential market opportunity, adjusted for the probability of success. This could be an indicator of an attractive investment, as there may be significant room for growth.</t>
  </si>
  <si>
    <r>
      <t xml:space="preserve">Forecasting Ratio </t>
    </r>
    <r>
      <rPr>
        <sz val="11"/>
        <color theme="1"/>
        <rFont val="Calibri"/>
        <family val="2"/>
        <scheme val="minor"/>
      </rPr>
      <t>(If &lt;1, market's currently undervaluing company so likely attractive investment)</t>
    </r>
  </si>
  <si>
    <t xml:space="preserve">PoS Rates Table: PDF from Clinical Development Success Rates and Contributing Factors 2011–2020 </t>
  </si>
  <si>
    <t xml:space="preserve">POS (%) - see POS Rates table in cell G13  </t>
  </si>
  <si>
    <t>Value of company (drug) if drug is approved in US = (# US patients addressable by the drug) x (max % of addressable patients who will use the drug) x (annual price of drug) x (biotech industry multiplier which is typically equal to 3 in the biotech industry)</t>
  </si>
  <si>
    <t>Biotech Industry Multiplier</t>
  </si>
  <si>
    <t>RA Valuation framework - Apply to lead asset ONLY</t>
  </si>
  <si>
    <t>Approximately 27,000 people in the United States suffer from acromegaly, and depending on surgical success, we
estimate that approximately 11,000 are candidates for chronic pharmacological intervention, of which somatostatin peptide analogs are the primary pharmacotherapy -  10K https://d18rn0p25nwr6d.cloudfront.net/CIK-0001658247/d6c55280-5012-48b0-a551-0a1dd08c14e6.pdf</t>
  </si>
  <si>
    <t>US Pt population size</t>
  </si>
  <si>
    <t>Max % of addressable patients who will use the drug</t>
  </si>
  <si>
    <t>Rev Model's Cell S8 = 2034 Market Penetration rate (year 10 on the market)</t>
  </si>
  <si>
    <t xml:space="preserve">See Rev Model tab for sources and breakdown of caluculated cells! </t>
  </si>
  <si>
    <t>Annual Pricing of Drug ($)</t>
  </si>
  <si>
    <t>TAM weighted by POS ($)</t>
  </si>
  <si>
    <t>Biotech Industry Muliplier * TAM weighted by POS ($)</t>
  </si>
  <si>
    <r>
      <rPr>
        <b/>
        <sz val="11"/>
        <color theme="1"/>
        <rFont val="Calibri"/>
        <family val="2"/>
        <scheme val="minor"/>
      </rPr>
      <t>Forecasting Ratio</t>
    </r>
    <r>
      <rPr>
        <sz val="11"/>
        <color theme="1"/>
        <rFont val="Calibri"/>
        <family val="2"/>
        <scheme val="minor"/>
      </rPr>
      <t xml:space="preserve"> = (Market cap) / (TAM * PoS * Biotech Industry Multiplier) </t>
    </r>
  </si>
  <si>
    <t>It is the marketcap of the company divided by the product of the biotech industry multiplier and the probability of success weighted TAM for the lead asset in the pipeline.</t>
  </si>
  <si>
    <r>
      <rPr>
        <b/>
        <sz val="11"/>
        <color theme="1"/>
        <rFont val="Calibri"/>
        <family val="2"/>
        <scheme val="minor"/>
      </rPr>
      <t>Forecasting Ratio</t>
    </r>
    <r>
      <rPr>
        <sz val="11"/>
        <color theme="1"/>
        <rFont val="Calibri"/>
        <family val="2"/>
        <scheme val="minor"/>
      </rPr>
      <t xml:space="preserve"> = (Market cap) / sum(TAM * PoS)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</si>
</sst>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8" formatCode="&quot;$&quot;#,##0.00_);[Red]\(&quot;$&quot;#,##0.00\)"/>
    <numFmt numFmtId="44" formatCode="_(&quot;$&quot;* #,##0.00_);_(&quot;$&quot;* \(#,##0.00\);_(&quot;$&quot;* &quot;-&quot;??_);_(@_)"/>
    <numFmt numFmtId="43" formatCode="_(* #,##0.00_);_(* \(#,##0.00\);_(* &quot;-&quot;??_);_(@_)"/>
    <numFmt numFmtId="164" formatCode="&quot;$&quot;#,##0.00"/>
    <numFmt numFmtId="165" formatCode="0.000000"/>
    <numFmt numFmtId="166" formatCode="0.0000"/>
    <numFmt numFmtId="167" formatCode="0.000"/>
    <numFmt numFmtId="168" formatCode="_(* #,##0_);_(* \(#,##0\);_(* &quot;-&quot;??_);_(@_)"/>
    <numFmt numFmtId="169" formatCode="0.0%"/>
    <numFmt numFmtId="170" formatCode="_(* #,##0.00000_);_(* \(#,##0.00000\);_(* &quot;-&quot;??_);_(@_)"/>
    <numFmt numFmtId="171" formatCode="_(&quot;$&quot;* #,##0_);_(&quot;$&quot;* \(#,##0\);_(&quot;$&quot;* &quot;-&quot;??_);_(@_)"/>
  </numFmts>
  <fonts count="14"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1"/>
      <name val="Calibri"/>
      <family val="2"/>
      <scheme val="minor"/>
    </font>
    <font>
      <b/>
      <sz val="11"/>
      <name val="Calibri"/>
      <family val="2"/>
      <scheme val="minor"/>
    </font>
    <font>
      <sz val="11"/>
      <color rgb="FF000000"/>
      <name val="Calibri"/>
      <family val="2"/>
      <scheme val="minor"/>
    </font>
    <font>
      <b/>
      <sz val="12"/>
      <color theme="1"/>
      <name val="Calibri"/>
      <family val="2"/>
      <scheme val="minor"/>
    </font>
    <font>
      <sz val="11"/>
      <color rgb="FFFF0000"/>
      <name val="Calibri"/>
      <family val="2"/>
      <scheme val="minor"/>
    </font>
    <font>
      <b/>
      <sz val="11"/>
      <color rgb="FFFF0000"/>
      <name val="Calibri"/>
      <family val="2"/>
      <scheme val="minor"/>
    </font>
    <font>
      <sz val="11"/>
      <color theme="5"/>
      <name val="Calibri"/>
      <family val="2"/>
      <scheme val="minor"/>
    </font>
    <font>
      <b/>
      <sz val="11"/>
      <color theme="5"/>
      <name val="Calibri"/>
      <family val="2"/>
      <scheme val="minor"/>
    </font>
    <font>
      <sz val="11"/>
      <color rgb="FFFF0000"/>
      <name val="Calibri (Body)"/>
    </font>
    <font>
      <b/>
      <sz val="11"/>
      <color rgb="FF000000"/>
      <name val="Calibri"/>
      <family val="2"/>
      <scheme val="minor"/>
    </font>
  </fonts>
  <fills count="9">
    <fill>
      <patternFill patternType="none"/>
    </fill>
    <fill>
      <patternFill patternType="gray125"/>
    </fill>
    <fill>
      <patternFill patternType="solid">
        <fgColor theme="8" tint="0.59999389629810485"/>
        <bgColor indexed="64"/>
      </patternFill>
    </fill>
    <fill>
      <patternFill patternType="solid">
        <fgColor theme="7"/>
        <bgColor indexed="64"/>
      </patternFill>
    </fill>
    <fill>
      <patternFill patternType="solid">
        <fgColor rgb="FFFFFF00"/>
        <bgColor indexed="64"/>
      </patternFill>
    </fill>
    <fill>
      <patternFill patternType="solid">
        <fgColor theme="9"/>
        <bgColor indexed="64"/>
      </patternFill>
    </fill>
    <fill>
      <patternFill patternType="solid">
        <fgColor rgb="FF70AD47"/>
        <bgColor rgb="FF000000"/>
      </patternFill>
    </fill>
    <fill>
      <patternFill patternType="solid">
        <fgColor rgb="FF00B050"/>
        <bgColor indexed="64"/>
      </patternFill>
    </fill>
    <fill>
      <patternFill patternType="solid">
        <fgColor theme="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1" fillId="0" borderId="0"/>
    <xf numFmtId="43"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cellStyleXfs>
  <cellXfs count="72">
    <xf numFmtId="0" fontId="0" fillId="0" borderId="0" xfId="0"/>
    <xf numFmtId="0" fontId="3" fillId="0" borderId="0" xfId="0" applyFont="1"/>
    <xf numFmtId="37" fontId="4" fillId="0" borderId="0" xfId="1" applyNumberFormat="1" applyFont="1"/>
    <xf numFmtId="0" fontId="5" fillId="0" borderId="0" xfId="0" applyFont="1"/>
    <xf numFmtId="37" fontId="5" fillId="0" borderId="0" xfId="1" applyNumberFormat="1" applyFont="1"/>
    <xf numFmtId="0" fontId="0" fillId="0" borderId="0" xfId="0" applyAlignment="1">
      <alignment wrapText="1"/>
    </xf>
    <xf numFmtId="0" fontId="2" fillId="2" borderId="0" xfId="0" applyFont="1" applyFill="1"/>
    <xf numFmtId="0" fontId="2" fillId="0" borderId="0" xfId="0" applyFont="1"/>
    <xf numFmtId="0" fontId="2" fillId="0" borderId="0" xfId="0" applyFont="1" applyAlignment="1">
      <alignment wrapText="1"/>
    </xf>
    <xf numFmtId="3" fontId="0" fillId="0" borderId="0" xfId="0" applyNumberFormat="1"/>
    <xf numFmtId="0" fontId="0" fillId="3" borderId="0" xfId="0" applyFill="1"/>
    <xf numFmtId="0" fontId="6" fillId="0" borderId="0" xfId="0" applyFont="1" applyAlignment="1">
      <alignment wrapText="1"/>
    </xf>
    <xf numFmtId="0" fontId="2" fillId="2" borderId="0" xfId="0" applyFont="1" applyFill="1" applyAlignment="1">
      <alignment vertical="top" wrapText="1"/>
    </xf>
    <xf numFmtId="0" fontId="0" fillId="0" borderId="0" xfId="0" applyAlignment="1">
      <alignment horizontal="left" vertical="top"/>
    </xf>
    <xf numFmtId="3" fontId="8" fillId="0" borderId="0" xfId="0" applyNumberFormat="1" applyFont="1"/>
    <xf numFmtId="0" fontId="8" fillId="0" borderId="0" xfId="0" applyFont="1"/>
    <xf numFmtId="0" fontId="9" fillId="0" borderId="0" xfId="0" applyFont="1"/>
    <xf numFmtId="0" fontId="8" fillId="0" borderId="0" xfId="0" applyFont="1" applyAlignment="1">
      <alignment wrapText="1"/>
    </xf>
    <xf numFmtId="0" fontId="7" fillId="5" borderId="0" xfId="0" applyFont="1" applyFill="1"/>
    <xf numFmtId="37" fontId="7" fillId="5" borderId="0" xfId="0" applyNumberFormat="1" applyFont="1" applyFill="1"/>
    <xf numFmtId="0" fontId="7" fillId="0" borderId="0" xfId="0" applyFont="1"/>
    <xf numFmtId="0" fontId="10" fillId="0" borderId="0" xfId="0" applyFont="1"/>
    <xf numFmtId="0" fontId="11" fillId="0" borderId="0" xfId="0" applyFont="1"/>
    <xf numFmtId="0" fontId="12" fillId="0" borderId="0" xfId="0" applyFont="1"/>
    <xf numFmtId="0" fontId="0" fillId="4" borderId="0" xfId="0" applyFill="1"/>
    <xf numFmtId="0" fontId="12" fillId="4" borderId="0" xfId="0" applyFont="1" applyFill="1" applyAlignment="1">
      <alignment horizontal="center"/>
    </xf>
    <xf numFmtId="43" fontId="0" fillId="0" borderId="0" xfId="2" applyFont="1"/>
    <xf numFmtId="9" fontId="0" fillId="0" borderId="0" xfId="3" applyFont="1"/>
    <xf numFmtId="0" fontId="12" fillId="0" borderId="0" xfId="0" applyFont="1" applyAlignment="1">
      <alignment wrapText="1"/>
    </xf>
    <xf numFmtId="2" fontId="0" fillId="0" borderId="0" xfId="0" applyNumberFormat="1"/>
    <xf numFmtId="165" fontId="6" fillId="0" borderId="0" xfId="0" applyNumberFormat="1" applyFont="1"/>
    <xf numFmtId="166" fontId="6" fillId="0" borderId="0" xfId="0" applyNumberFormat="1" applyFont="1"/>
    <xf numFmtId="167" fontId="6" fillId="0" borderId="0" xfId="0" applyNumberFormat="1" applyFont="1"/>
    <xf numFmtId="2" fontId="6" fillId="0" borderId="0" xfId="0" applyNumberFormat="1" applyFont="1"/>
    <xf numFmtId="165" fontId="0" fillId="0" borderId="0" xfId="0" applyNumberFormat="1"/>
    <xf numFmtId="166" fontId="0" fillId="0" borderId="0" xfId="0" applyNumberFormat="1"/>
    <xf numFmtId="167" fontId="0" fillId="0" borderId="0" xfId="0" applyNumberFormat="1"/>
    <xf numFmtId="168" fontId="0" fillId="0" borderId="0" xfId="2" applyNumberFormat="1" applyFont="1"/>
    <xf numFmtId="168" fontId="0" fillId="0" borderId="0" xfId="0" applyNumberFormat="1"/>
    <xf numFmtId="43" fontId="0" fillId="0" borderId="0" xfId="0" applyNumberFormat="1"/>
    <xf numFmtId="0" fontId="2" fillId="5" borderId="0" xfId="0" applyFont="1" applyFill="1"/>
    <xf numFmtId="10" fontId="0" fillId="0" borderId="0" xfId="0" applyNumberFormat="1"/>
    <xf numFmtId="0" fontId="13" fillId="6" borderId="0" xfId="0" applyFont="1" applyFill="1"/>
    <xf numFmtId="0" fontId="7" fillId="2" borderId="0" xfId="0" applyFont="1" applyFill="1"/>
    <xf numFmtId="37" fontId="7" fillId="2" borderId="0" xfId="0" applyNumberFormat="1" applyFont="1" applyFill="1"/>
    <xf numFmtId="9" fontId="2" fillId="0" borderId="0" xfId="0" applyNumberFormat="1" applyFont="1"/>
    <xf numFmtId="0" fontId="0" fillId="4" borderId="1" xfId="0" applyFill="1" applyBorder="1"/>
    <xf numFmtId="8" fontId="0" fillId="4" borderId="1" xfId="0" applyNumberFormat="1" applyFill="1" applyBorder="1"/>
    <xf numFmtId="0" fontId="0" fillId="0" borderId="1" xfId="0" applyBorder="1"/>
    <xf numFmtId="164" fontId="0" fillId="4" borderId="1" xfId="0" applyNumberFormat="1" applyFill="1" applyBorder="1"/>
    <xf numFmtId="2" fontId="0" fillId="0" borderId="1" xfId="0" applyNumberFormat="1" applyBorder="1"/>
    <xf numFmtId="8" fontId="0" fillId="0" borderId="1" xfId="0" applyNumberFormat="1" applyBorder="1"/>
    <xf numFmtId="3" fontId="0" fillId="0" borderId="1" xfId="0" applyNumberFormat="1" applyBorder="1"/>
    <xf numFmtId="0" fontId="2" fillId="0" borderId="0" xfId="0" applyFont="1" applyAlignment="1">
      <alignment horizontal="center" wrapText="1"/>
    </xf>
    <xf numFmtId="0" fontId="2" fillId="0" borderId="0" xfId="0" applyFont="1" applyAlignment="1">
      <alignment horizontal="center"/>
    </xf>
    <xf numFmtId="170" fontId="0" fillId="0" borderId="0" xfId="0" applyNumberFormat="1"/>
    <xf numFmtId="168" fontId="0" fillId="0" borderId="0" xfId="2" applyNumberFormat="1" applyFont="1" applyFill="1"/>
    <xf numFmtId="169" fontId="0" fillId="0" borderId="0" xfId="3" applyNumberFormat="1" applyFont="1"/>
    <xf numFmtId="169" fontId="0" fillId="0" borderId="0" xfId="3" applyNumberFormat="1" applyFont="1" applyFill="1"/>
    <xf numFmtId="1" fontId="0" fillId="0" borderId="0" xfId="0" applyNumberFormat="1"/>
    <xf numFmtId="0" fontId="0" fillId="7" borderId="0" xfId="0" applyFill="1"/>
    <xf numFmtId="0" fontId="0" fillId="7" borderId="0" xfId="0" applyFill="1" applyAlignment="1">
      <alignment wrapText="1"/>
    </xf>
    <xf numFmtId="168" fontId="0" fillId="7" borderId="0" xfId="2" applyNumberFormat="1" applyFont="1" applyFill="1"/>
    <xf numFmtId="169" fontId="0" fillId="7" borderId="0" xfId="3" applyNumberFormat="1" applyFont="1" applyFill="1"/>
    <xf numFmtId="168" fontId="0" fillId="7" borderId="0" xfId="0" applyNumberFormat="1" applyFill="1"/>
    <xf numFmtId="170" fontId="0" fillId="7" borderId="0" xfId="0" applyNumberFormat="1" applyFill="1"/>
    <xf numFmtId="168" fontId="0" fillId="0" borderId="0" xfId="2" applyNumberFormat="1" applyFont="1" applyFill="1" applyAlignment="1">
      <alignment vertical="top" wrapText="1"/>
    </xf>
    <xf numFmtId="171" fontId="0" fillId="7" borderId="0" xfId="4" applyNumberFormat="1" applyFont="1" applyFill="1"/>
    <xf numFmtId="43" fontId="0" fillId="8" borderId="0" xfId="0" applyNumberFormat="1" applyFill="1"/>
    <xf numFmtId="2" fontId="0" fillId="8" borderId="0" xfId="0" applyNumberFormat="1" applyFill="1"/>
    <xf numFmtId="0" fontId="0" fillId="0" borderId="0" xfId="0" applyAlignment="1">
      <alignment horizontal="left" vertical="top" wrapText="1"/>
    </xf>
    <xf numFmtId="0" fontId="0" fillId="4" borderId="0" xfId="0" applyFill="1" applyAlignment="1">
      <alignment horizontal="left"/>
    </xf>
  </cellXfs>
  <cellStyles count="5">
    <cellStyle name="Comma" xfId="2" builtinId="3"/>
    <cellStyle name="Currency" xfId="4" builtinId="4"/>
    <cellStyle name="Normal" xfId="0" builtinId="0"/>
    <cellStyle name="Normal 2" xfId="1" xr:uid="{55C0E7B8-5BB7-46B4-8F9D-5E87B61954A8}"/>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1148080</xdr:colOff>
      <xdr:row>13</xdr:row>
      <xdr:rowOff>30480</xdr:rowOff>
    </xdr:from>
    <xdr:to>
      <xdr:col>10</xdr:col>
      <xdr:colOff>962582</xdr:colOff>
      <xdr:row>27</xdr:row>
      <xdr:rowOff>151373</xdr:rowOff>
    </xdr:to>
    <xdr:pic>
      <xdr:nvPicPr>
        <xdr:cNvPr id="3" name="Picture 2">
          <a:extLst>
            <a:ext uri="{FF2B5EF4-FFF2-40B4-BE49-F238E27FC236}">
              <a16:creationId xmlns:a16="http://schemas.microsoft.com/office/drawing/2014/main" id="{FE9EEB42-B8D5-F444-BB0C-DB621E8AE4E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804400" y="4643120"/>
          <a:ext cx="6753782" cy="465225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1148080</xdr:colOff>
      <xdr:row>16</xdr:row>
      <xdr:rowOff>30480</xdr:rowOff>
    </xdr:from>
    <xdr:to>
      <xdr:col>10</xdr:col>
      <xdr:colOff>271702</xdr:colOff>
      <xdr:row>30</xdr:row>
      <xdr:rowOff>151373</xdr:rowOff>
    </xdr:to>
    <xdr:pic>
      <xdr:nvPicPr>
        <xdr:cNvPr id="2" name="Picture 1">
          <a:extLst>
            <a:ext uri="{FF2B5EF4-FFF2-40B4-BE49-F238E27FC236}">
              <a16:creationId xmlns:a16="http://schemas.microsoft.com/office/drawing/2014/main" id="{527ABF77-B8E0-CD41-93A2-E465DBE4878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809480" y="4627880"/>
          <a:ext cx="6748702" cy="4616693"/>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597F70-5BC3-4D58-8EC8-73D386F26B8D}">
  <dimension ref="A2:U108"/>
  <sheetViews>
    <sheetView tabSelected="1" topLeftCell="N2" zoomScale="109" zoomScaleNormal="110" workbookViewId="0">
      <pane ySplit="1" topLeftCell="A72" activePane="bottomLeft" state="frozen"/>
      <selection activeCell="D2" sqref="D2"/>
      <selection pane="bottomLeft" activeCell="C6" sqref="C6"/>
    </sheetView>
  </sheetViews>
  <sheetFormatPr baseColWidth="10" defaultColWidth="8.83203125" defaultRowHeight="15" x14ac:dyDescent="0.2"/>
  <cols>
    <col min="1" max="1" width="3.6640625" customWidth="1"/>
    <col min="2" max="2" width="78.33203125" bestFit="1" customWidth="1"/>
    <col min="3" max="3" width="25.5" bestFit="1" customWidth="1"/>
    <col min="4" max="4" width="100.6640625" bestFit="1" customWidth="1"/>
    <col min="5" max="5" width="16.5" customWidth="1"/>
    <col min="6" max="6" width="22.6640625" bestFit="1" customWidth="1"/>
    <col min="7" max="7" width="15.6640625" customWidth="1"/>
    <col min="8" max="9" width="20.5" bestFit="1" customWidth="1"/>
    <col min="10" max="10" width="17.5" bestFit="1" customWidth="1"/>
    <col min="11" max="12" width="17.6640625" bestFit="1" customWidth="1"/>
    <col min="13" max="14" width="15.33203125" bestFit="1" customWidth="1"/>
    <col min="15" max="15" width="18.6640625" bestFit="1" customWidth="1"/>
    <col min="16" max="17" width="16.83203125" bestFit="1" customWidth="1"/>
    <col min="18" max="18" width="18.6640625" bestFit="1" customWidth="1"/>
    <col min="19" max="20" width="16.83203125" bestFit="1" customWidth="1"/>
  </cols>
  <sheetData>
    <row r="2" spans="2:20" s="7" customFormat="1" x14ac:dyDescent="0.2">
      <c r="B2" s="6" t="s">
        <v>87</v>
      </c>
      <c r="C2" s="40" t="s">
        <v>63</v>
      </c>
      <c r="D2"/>
      <c r="E2" s="3">
        <v>2020</v>
      </c>
      <c r="F2" s="7">
        <v>2021</v>
      </c>
      <c r="G2" s="7">
        <v>2022</v>
      </c>
      <c r="H2" s="7">
        <v>2023</v>
      </c>
      <c r="I2" s="7">
        <v>2024</v>
      </c>
      <c r="J2" s="16">
        <v>2025</v>
      </c>
      <c r="K2" s="7">
        <v>2026</v>
      </c>
      <c r="L2" s="7">
        <v>2027</v>
      </c>
      <c r="M2" s="7">
        <v>2028</v>
      </c>
      <c r="N2" s="7">
        <v>2029</v>
      </c>
      <c r="O2" s="7">
        <v>2030</v>
      </c>
      <c r="P2" s="7">
        <v>2031</v>
      </c>
      <c r="Q2" s="7">
        <v>2032</v>
      </c>
      <c r="R2" s="7">
        <v>2033</v>
      </c>
      <c r="S2" s="7">
        <v>2034</v>
      </c>
      <c r="T2" s="7">
        <v>2035</v>
      </c>
    </row>
    <row r="3" spans="2:20" ht="64" x14ac:dyDescent="0.2">
      <c r="B3" t="s">
        <v>0</v>
      </c>
      <c r="C3">
        <v>27000</v>
      </c>
      <c r="D3" s="5" t="s">
        <v>132</v>
      </c>
      <c r="E3" s="2">
        <f>C3</f>
        <v>27000</v>
      </c>
      <c r="F3" s="2">
        <f>E3*(1+E4)</f>
        <v>30000</v>
      </c>
      <c r="G3" s="2">
        <f>F3*(1+F4)</f>
        <v>33333.333333333336</v>
      </c>
      <c r="H3" s="2">
        <f>G3*(1+G4)</f>
        <v>37037.037037037044</v>
      </c>
      <c r="I3" s="2">
        <f t="shared" ref="I3:T3" si="0">H3*(1+H4)</f>
        <v>41152.263374485607</v>
      </c>
      <c r="J3" s="2">
        <f t="shared" si="0"/>
        <v>45724.737082761785</v>
      </c>
      <c r="K3" s="2">
        <f t="shared" si="0"/>
        <v>50805.263425290876</v>
      </c>
      <c r="L3" s="2">
        <f t="shared" si="0"/>
        <v>56450.292694767639</v>
      </c>
      <c r="M3" s="2">
        <f t="shared" si="0"/>
        <v>62722.547438630711</v>
      </c>
      <c r="N3" s="2">
        <f t="shared" si="0"/>
        <v>69691.719376256355</v>
      </c>
      <c r="O3" s="2">
        <f t="shared" si="0"/>
        <v>77435.243751395959</v>
      </c>
      <c r="P3" s="2">
        <f t="shared" si="0"/>
        <v>86039.159723773293</v>
      </c>
      <c r="Q3" s="2">
        <f t="shared" si="0"/>
        <v>95599.066359748103</v>
      </c>
      <c r="R3" s="2">
        <f t="shared" si="0"/>
        <v>106221.18484416457</v>
      </c>
      <c r="S3" s="2">
        <f t="shared" si="0"/>
        <v>118023.53871573841</v>
      </c>
      <c r="T3" s="2">
        <f t="shared" si="0"/>
        <v>131137.26523970935</v>
      </c>
    </row>
    <row r="4" spans="2:20" ht="32" x14ac:dyDescent="0.2">
      <c r="B4" t="s">
        <v>1</v>
      </c>
      <c r="C4" s="33">
        <f>3000/27000</f>
        <v>0.1111111111111111</v>
      </c>
      <c r="D4" s="11" t="s">
        <v>30</v>
      </c>
      <c r="E4" s="29">
        <f>C4</f>
        <v>0.1111111111111111</v>
      </c>
      <c r="F4" s="29">
        <f>E4</f>
        <v>0.1111111111111111</v>
      </c>
      <c r="G4" s="29">
        <f>F4</f>
        <v>0.1111111111111111</v>
      </c>
      <c r="H4" s="29">
        <f t="shared" ref="H4:T4" si="1">G4</f>
        <v>0.1111111111111111</v>
      </c>
      <c r="I4" s="29">
        <f t="shared" si="1"/>
        <v>0.1111111111111111</v>
      </c>
      <c r="J4" s="29">
        <f t="shared" si="1"/>
        <v>0.1111111111111111</v>
      </c>
      <c r="K4" s="29">
        <f t="shared" si="1"/>
        <v>0.1111111111111111</v>
      </c>
      <c r="L4" s="29">
        <f t="shared" si="1"/>
        <v>0.1111111111111111</v>
      </c>
      <c r="M4" s="29">
        <f t="shared" si="1"/>
        <v>0.1111111111111111</v>
      </c>
      <c r="N4" s="29">
        <f t="shared" si="1"/>
        <v>0.1111111111111111</v>
      </c>
      <c r="O4" s="29">
        <f t="shared" si="1"/>
        <v>0.1111111111111111</v>
      </c>
      <c r="P4" s="29">
        <f t="shared" si="1"/>
        <v>0.1111111111111111</v>
      </c>
      <c r="Q4" s="29">
        <f t="shared" si="1"/>
        <v>0.1111111111111111</v>
      </c>
      <c r="R4" s="29">
        <f t="shared" si="1"/>
        <v>0.1111111111111111</v>
      </c>
      <c r="S4" s="29">
        <f t="shared" si="1"/>
        <v>0.1111111111111111</v>
      </c>
      <c r="T4" s="29">
        <f t="shared" si="1"/>
        <v>0.1111111111111111</v>
      </c>
    </row>
    <row r="5" spans="2:20" x14ac:dyDescent="0.2">
      <c r="B5" s="1" t="s">
        <v>28</v>
      </c>
      <c r="C5" s="1"/>
      <c r="D5" t="s">
        <v>31</v>
      </c>
    </row>
    <row r="6" spans="2:20" x14ac:dyDescent="0.2">
      <c r="B6" t="s">
        <v>29</v>
      </c>
      <c r="C6" s="14">
        <f>73139.56*1.5</f>
        <v>109709.34</v>
      </c>
      <c r="D6" t="s">
        <v>84</v>
      </c>
      <c r="J6" s="2">
        <f>C6</f>
        <v>109709.34</v>
      </c>
      <c r="K6" s="2">
        <f t="shared" ref="K6:T6" si="2">J6*(1+K7)</f>
        <v>110257.88669999999</v>
      </c>
      <c r="L6" s="2">
        <f t="shared" si="2"/>
        <v>110809.17613349998</v>
      </c>
      <c r="M6" s="2">
        <f t="shared" si="2"/>
        <v>111363.22201416746</v>
      </c>
      <c r="N6" s="2">
        <f t="shared" si="2"/>
        <v>111920.03812423829</v>
      </c>
      <c r="O6" s="2">
        <f t="shared" si="2"/>
        <v>112479.63831485946</v>
      </c>
      <c r="P6" s="2">
        <f t="shared" si="2"/>
        <v>113042.03650643375</v>
      </c>
      <c r="Q6" s="2">
        <f t="shared" si="2"/>
        <v>113607.24668896591</v>
      </c>
      <c r="R6" s="2">
        <f t="shared" si="2"/>
        <v>114175.28292241073</v>
      </c>
      <c r="S6" s="2">
        <f t="shared" si="2"/>
        <v>114746.15933702276</v>
      </c>
      <c r="T6" s="2">
        <f t="shared" si="2"/>
        <v>115319.89013370787</v>
      </c>
    </row>
    <row r="7" spans="2:20" x14ac:dyDescent="0.2">
      <c r="B7" s="10" t="s">
        <v>4</v>
      </c>
      <c r="J7">
        <v>5.0000000000000001E-3</v>
      </c>
      <c r="K7">
        <v>5.0000000000000001E-3</v>
      </c>
      <c r="L7">
        <v>5.0000000000000001E-3</v>
      </c>
      <c r="M7">
        <v>5.0000000000000001E-3</v>
      </c>
      <c r="N7">
        <v>5.0000000000000001E-3</v>
      </c>
      <c r="O7">
        <f>N7</f>
        <v>5.0000000000000001E-3</v>
      </c>
      <c r="P7">
        <f t="shared" ref="P7:T7" si="3">O7</f>
        <v>5.0000000000000001E-3</v>
      </c>
      <c r="Q7">
        <f t="shared" si="3"/>
        <v>5.0000000000000001E-3</v>
      </c>
      <c r="R7">
        <f t="shared" si="3"/>
        <v>5.0000000000000001E-3</v>
      </c>
      <c r="S7">
        <f t="shared" si="3"/>
        <v>5.0000000000000001E-3</v>
      </c>
      <c r="T7">
        <f t="shared" si="3"/>
        <v>5.0000000000000001E-3</v>
      </c>
    </row>
    <row r="8" spans="2:20" x14ac:dyDescent="0.2">
      <c r="B8" s="10" t="s">
        <v>6</v>
      </c>
      <c r="J8" s="24">
        <v>2E-3</v>
      </c>
      <c r="K8">
        <f>J8+0.003</f>
        <v>5.0000000000000001E-3</v>
      </c>
      <c r="L8">
        <f>K8+0.007</f>
        <v>1.2E-2</v>
      </c>
      <c r="M8">
        <f>L8+0.01</f>
        <v>2.1999999999999999E-2</v>
      </c>
      <c r="N8">
        <f>M8+0.012</f>
        <v>3.4000000000000002E-2</v>
      </c>
      <c r="O8">
        <f>N8+0.015</f>
        <v>4.9000000000000002E-2</v>
      </c>
      <c r="P8">
        <f t="shared" ref="P8:T8" si="4">O8+0.015</f>
        <v>6.4000000000000001E-2</v>
      </c>
      <c r="Q8">
        <f t="shared" si="4"/>
        <v>7.9000000000000001E-2</v>
      </c>
      <c r="R8">
        <f t="shared" si="4"/>
        <v>9.4E-2</v>
      </c>
      <c r="S8">
        <f t="shared" si="4"/>
        <v>0.109</v>
      </c>
      <c r="T8">
        <f t="shared" si="4"/>
        <v>0.124</v>
      </c>
    </row>
    <row r="9" spans="2:20" x14ac:dyDescent="0.2">
      <c r="B9" t="s">
        <v>7</v>
      </c>
      <c r="J9" s="4">
        <f t="shared" ref="J9:T9" si="5">J3*J6*J8</f>
        <v>10032861.454046641</v>
      </c>
      <c r="K9" s="4">
        <f t="shared" si="5"/>
        <v>28008404.892546874</v>
      </c>
      <c r="L9" s="4">
        <f t="shared" si="5"/>
        <v>75062525.112025619</v>
      </c>
      <c r="M9" s="4">
        <f t="shared" si="5"/>
        <v>153669669.4654524</v>
      </c>
      <c r="N9" s="4">
        <f t="shared" si="5"/>
        <v>265196596.24416715</v>
      </c>
      <c r="O9" s="4">
        <f t="shared" si="5"/>
        <v>426784522.28902</v>
      </c>
      <c r="P9" s="4">
        <f t="shared" si="5"/>
        <v>622466677.40657055</v>
      </c>
      <c r="Q9" s="4">
        <f t="shared" si="5"/>
        <v>857998990.49817133</v>
      </c>
      <c r="R9" s="4">
        <f t="shared" si="5"/>
        <v>1140016380.2020006</v>
      </c>
      <c r="S9" s="4">
        <f t="shared" si="5"/>
        <v>1476159507.9104979</v>
      </c>
      <c r="T9" s="4">
        <f t="shared" si="5"/>
        <v>1875219142.4648957</v>
      </c>
    </row>
    <row r="10" spans="2:20" x14ac:dyDescent="0.2">
      <c r="B10" t="s">
        <v>65</v>
      </c>
      <c r="C10" s="41">
        <v>0.86299999999999999</v>
      </c>
      <c r="J10" s="4"/>
      <c r="K10" s="4"/>
      <c r="L10" s="4"/>
      <c r="M10" s="4"/>
      <c r="N10" s="4"/>
      <c r="O10" s="4"/>
      <c r="P10" s="4"/>
      <c r="Q10" s="4"/>
      <c r="R10" s="4"/>
      <c r="S10" s="4"/>
    </row>
    <row r="11" spans="2:20" ht="112" x14ac:dyDescent="0.2">
      <c r="B11" s="13"/>
      <c r="D11" s="15"/>
      <c r="E11" s="23"/>
      <c r="F11" s="23"/>
      <c r="G11" s="23"/>
      <c r="H11" s="28"/>
      <c r="I11" s="28"/>
      <c r="J11" s="28" t="s">
        <v>33</v>
      </c>
      <c r="K11" s="28" t="s">
        <v>25</v>
      </c>
      <c r="L11" s="28" t="s">
        <v>93</v>
      </c>
      <c r="M11" s="28" t="s">
        <v>94</v>
      </c>
      <c r="N11" s="28" t="s">
        <v>95</v>
      </c>
      <c r="O11" s="28" t="s">
        <v>96</v>
      </c>
    </row>
    <row r="12" spans="2:20" x14ac:dyDescent="0.2">
      <c r="D12" s="15"/>
      <c r="J12" s="25" t="s">
        <v>18</v>
      </c>
    </row>
    <row r="13" spans="2:20" x14ac:dyDescent="0.2">
      <c r="D13" s="15"/>
    </row>
    <row r="14" spans="2:20" s="7" customFormat="1" x14ac:dyDescent="0.2">
      <c r="B14" s="6" t="s">
        <v>88</v>
      </c>
      <c r="C14" s="40" t="s">
        <v>64</v>
      </c>
      <c r="D14"/>
      <c r="E14" s="3">
        <v>2020</v>
      </c>
      <c r="F14" s="7">
        <v>2021</v>
      </c>
      <c r="G14" s="7">
        <v>2022</v>
      </c>
      <c r="H14" s="7">
        <v>2023</v>
      </c>
      <c r="I14" s="7">
        <v>2024</v>
      </c>
      <c r="J14" s="3">
        <v>2025</v>
      </c>
      <c r="K14" s="7">
        <v>2026</v>
      </c>
      <c r="L14" s="16">
        <v>2027</v>
      </c>
      <c r="M14" s="7">
        <v>2028</v>
      </c>
      <c r="N14" s="7">
        <v>2029</v>
      </c>
      <c r="O14" s="7">
        <v>2030</v>
      </c>
      <c r="P14" s="7">
        <v>2031</v>
      </c>
      <c r="Q14" s="7">
        <v>2032</v>
      </c>
      <c r="R14" s="7">
        <v>2033</v>
      </c>
      <c r="S14" s="7">
        <v>2034</v>
      </c>
      <c r="T14" s="7">
        <v>2035</v>
      </c>
    </row>
    <row r="15" spans="2:20" ht="48" x14ac:dyDescent="0.2">
      <c r="B15" t="s">
        <v>2</v>
      </c>
      <c r="C15">
        <f>33000</f>
        <v>33000</v>
      </c>
      <c r="D15" s="5" t="s">
        <v>42</v>
      </c>
      <c r="E15" s="2">
        <f>C15</f>
        <v>33000</v>
      </c>
      <c r="F15" s="2">
        <f>E15*(1+E16)</f>
        <v>34122</v>
      </c>
      <c r="G15" s="2">
        <f>F15*(1+F16)</f>
        <v>35282.148000000001</v>
      </c>
      <c r="H15" s="2">
        <f>G15*(1+G16)</f>
        <v>36481.741032000005</v>
      </c>
      <c r="I15" s="2">
        <f t="shared" ref="I15" si="6">H15*(1+H16)</f>
        <v>37722.120227088009</v>
      </c>
      <c r="J15" s="2">
        <f t="shared" ref="J15" si="7">I15*(1+I16)</f>
        <v>39004.672314809002</v>
      </c>
      <c r="K15" s="2">
        <f t="shared" ref="K15" si="8">J15*(1+J16)</f>
        <v>40330.83117351251</v>
      </c>
      <c r="L15" s="2">
        <f t="shared" ref="L15" si="9">K15*(1+K16)</f>
        <v>41702.079433411935</v>
      </c>
      <c r="M15" s="2">
        <f t="shared" ref="M15" si="10">L15*(1+L16)</f>
        <v>43119.950134147941</v>
      </c>
      <c r="N15" s="2">
        <f t="shared" ref="N15" si="11">M15*(1+M16)</f>
        <v>44586.02843870897</v>
      </c>
      <c r="O15" s="2">
        <f t="shared" ref="O15" si="12">N15*(1+N16)</f>
        <v>46101.953405625078</v>
      </c>
      <c r="P15" s="2">
        <f t="shared" ref="P15" si="13">O15*(1+O16)</f>
        <v>47669.419821416333</v>
      </c>
      <c r="Q15" s="2">
        <f t="shared" ref="Q15" si="14">P15*(1+P16)</f>
        <v>49290.180095344491</v>
      </c>
      <c r="R15" s="2">
        <f t="shared" ref="R15" si="15">Q15*(1+Q16)</f>
        <v>50966.046218586205</v>
      </c>
      <c r="S15" s="2">
        <f t="shared" ref="S15:T15" si="16">R15*(1+R16)</f>
        <v>52698.89179001814</v>
      </c>
      <c r="T15" s="2">
        <f t="shared" si="16"/>
        <v>54490.654110878757</v>
      </c>
    </row>
    <row r="16" spans="2:20" ht="48" x14ac:dyDescent="0.2">
      <c r="B16" t="s">
        <v>3</v>
      </c>
      <c r="C16" s="32">
        <v>3.4000000000000002E-2</v>
      </c>
      <c r="D16" s="11" t="s">
        <v>43</v>
      </c>
      <c r="E16" s="36">
        <f>C16</f>
        <v>3.4000000000000002E-2</v>
      </c>
      <c r="F16" s="36">
        <f>E16</f>
        <v>3.4000000000000002E-2</v>
      </c>
      <c r="G16" s="36">
        <f>F16</f>
        <v>3.4000000000000002E-2</v>
      </c>
      <c r="H16" s="36">
        <f t="shared" ref="H16" si="17">G16</f>
        <v>3.4000000000000002E-2</v>
      </c>
      <c r="I16" s="36">
        <f t="shared" ref="I16" si="18">H16</f>
        <v>3.4000000000000002E-2</v>
      </c>
      <c r="J16" s="36">
        <f t="shared" ref="J16" si="19">I16</f>
        <v>3.4000000000000002E-2</v>
      </c>
      <c r="K16" s="36">
        <f t="shared" ref="K16" si="20">J16</f>
        <v>3.4000000000000002E-2</v>
      </c>
      <c r="L16" s="36">
        <f t="shared" ref="L16" si="21">K16</f>
        <v>3.4000000000000002E-2</v>
      </c>
      <c r="M16" s="36">
        <f t="shared" ref="M16" si="22">L16</f>
        <v>3.4000000000000002E-2</v>
      </c>
      <c r="N16" s="36">
        <f t="shared" ref="N16" si="23">M16</f>
        <v>3.4000000000000002E-2</v>
      </c>
      <c r="O16" s="36">
        <f t="shared" ref="O16" si="24">N16</f>
        <v>3.4000000000000002E-2</v>
      </c>
      <c r="P16" s="36">
        <f t="shared" ref="P16" si="25">O16</f>
        <v>3.4000000000000002E-2</v>
      </c>
      <c r="Q16" s="36">
        <f t="shared" ref="Q16" si="26">P16</f>
        <v>3.4000000000000002E-2</v>
      </c>
      <c r="R16" s="36">
        <f t="shared" ref="R16" si="27">Q16</f>
        <v>3.4000000000000002E-2</v>
      </c>
      <c r="S16" s="36">
        <f t="shared" ref="S16:T16" si="28">R16</f>
        <v>3.4000000000000002E-2</v>
      </c>
      <c r="T16" s="36">
        <f t="shared" si="28"/>
        <v>3.4000000000000002E-2</v>
      </c>
    </row>
    <row r="17" spans="1:21" x14ac:dyDescent="0.2">
      <c r="B17" s="1" t="s">
        <v>44</v>
      </c>
      <c r="C17" s="1"/>
      <c r="D17" t="s">
        <v>71</v>
      </c>
    </row>
    <row r="18" spans="1:21" x14ac:dyDescent="0.2">
      <c r="B18" t="s">
        <v>46</v>
      </c>
      <c r="C18" s="14">
        <f>73139.56*1.5</f>
        <v>109709.34</v>
      </c>
      <c r="D18" t="s">
        <v>84</v>
      </c>
      <c r="L18" s="2">
        <f>C18</f>
        <v>109709.34</v>
      </c>
      <c r="M18" s="2">
        <f t="shared" ref="M18:T18" si="29">L18*(1+M19)</f>
        <v>110257.88669999999</v>
      </c>
      <c r="N18" s="2">
        <f t="shared" si="29"/>
        <v>110809.17613349998</v>
      </c>
      <c r="O18" s="2">
        <f t="shared" si="29"/>
        <v>111363.22201416746</v>
      </c>
      <c r="P18" s="2">
        <f t="shared" si="29"/>
        <v>111920.03812423829</v>
      </c>
      <c r="Q18" s="2">
        <f t="shared" si="29"/>
        <v>112479.63831485946</v>
      </c>
      <c r="R18" s="2">
        <f t="shared" si="29"/>
        <v>113042.03650643375</v>
      </c>
      <c r="S18" s="2">
        <f t="shared" si="29"/>
        <v>113607.24668896591</v>
      </c>
      <c r="T18" s="2">
        <f t="shared" si="29"/>
        <v>114175.28292241073</v>
      </c>
    </row>
    <row r="19" spans="1:21" x14ac:dyDescent="0.2">
      <c r="B19" s="10" t="s">
        <v>5</v>
      </c>
      <c r="L19">
        <v>5.0000000000000001E-3</v>
      </c>
      <c r="M19">
        <v>5.0000000000000001E-3</v>
      </c>
      <c r="N19">
        <v>5.0000000000000001E-3</v>
      </c>
      <c r="O19">
        <f>N19</f>
        <v>5.0000000000000001E-3</v>
      </c>
      <c r="P19">
        <f t="shared" ref="P19" si="30">O19</f>
        <v>5.0000000000000001E-3</v>
      </c>
      <c r="Q19">
        <f t="shared" ref="Q19" si="31">P19</f>
        <v>5.0000000000000001E-3</v>
      </c>
      <c r="R19">
        <f t="shared" ref="R19" si="32">Q19</f>
        <v>5.0000000000000001E-3</v>
      </c>
      <c r="S19">
        <f t="shared" ref="S19:T19" si="33">R19</f>
        <v>5.0000000000000001E-3</v>
      </c>
      <c r="T19">
        <f t="shared" si="33"/>
        <v>5.0000000000000001E-3</v>
      </c>
    </row>
    <row r="20" spans="1:21" x14ac:dyDescent="0.2">
      <c r="B20" s="10" t="s">
        <v>6</v>
      </c>
      <c r="L20" s="24">
        <v>2E-3</v>
      </c>
      <c r="M20">
        <f>L20+0.003</f>
        <v>5.0000000000000001E-3</v>
      </c>
      <c r="N20">
        <f>M20+0.007</f>
        <v>1.2E-2</v>
      </c>
      <c r="O20">
        <f>N20+0.01</f>
        <v>2.1999999999999999E-2</v>
      </c>
      <c r="P20">
        <f>O20+0.012</f>
        <v>3.4000000000000002E-2</v>
      </c>
      <c r="Q20">
        <f>P20+0.015</f>
        <v>4.9000000000000002E-2</v>
      </c>
      <c r="R20">
        <f t="shared" ref="R20:T20" si="34">Q20+0.015</f>
        <v>6.4000000000000001E-2</v>
      </c>
      <c r="S20">
        <f t="shared" si="34"/>
        <v>7.9000000000000001E-2</v>
      </c>
      <c r="T20">
        <f t="shared" si="34"/>
        <v>9.4E-2</v>
      </c>
    </row>
    <row r="21" spans="1:21" x14ac:dyDescent="0.2">
      <c r="B21" t="s">
        <v>8</v>
      </c>
      <c r="L21" s="4">
        <f t="shared" ref="L21:T21" si="35">L15*L18*L20</f>
        <v>9150215.2225343958</v>
      </c>
      <c r="M21" s="4">
        <f t="shared" si="35"/>
        <v>23771572.882002663</v>
      </c>
      <c r="N21" s="4">
        <f t="shared" si="35"/>
        <v>59286492.940297693</v>
      </c>
      <c r="O21" s="4">
        <f t="shared" si="35"/>
        <v>112949365.59274344</v>
      </c>
      <c r="P21" s="4">
        <f t="shared" si="35"/>
        <v>181395551.64829004</v>
      </c>
      <c r="Q21" s="4">
        <f t="shared" si="35"/>
        <v>271662939.85033309</v>
      </c>
      <c r="R21" s="4">
        <f t="shared" si="35"/>
        <v>368723562.06272078</v>
      </c>
      <c r="S21" s="4">
        <f t="shared" si="35"/>
        <v>472971103.9860732</v>
      </c>
      <c r="T21" s="4">
        <f t="shared" si="35"/>
        <v>584819669.87525964</v>
      </c>
    </row>
    <row r="22" spans="1:21" x14ac:dyDescent="0.2">
      <c r="B22" t="s">
        <v>66</v>
      </c>
      <c r="C22" s="41">
        <v>0.57099999999999995</v>
      </c>
      <c r="J22" s="4"/>
      <c r="K22" s="4"/>
      <c r="L22" s="4"/>
      <c r="M22" s="4"/>
      <c r="N22" s="4"/>
      <c r="O22" s="4"/>
      <c r="P22" s="4"/>
      <c r="Q22" s="4"/>
      <c r="R22" s="4"/>
      <c r="S22" s="4"/>
    </row>
    <row r="23" spans="1:21" ht="112" x14ac:dyDescent="0.2">
      <c r="D23" s="15"/>
      <c r="E23" s="23"/>
      <c r="F23" s="23"/>
      <c r="G23" s="23"/>
      <c r="H23" s="28"/>
      <c r="I23" s="28"/>
      <c r="L23" s="28" t="s">
        <v>33</v>
      </c>
      <c r="M23" s="28" t="s">
        <v>25</v>
      </c>
      <c r="N23" s="28" t="s">
        <v>93</v>
      </c>
      <c r="O23" s="28" t="s">
        <v>94</v>
      </c>
      <c r="P23" s="28" t="s">
        <v>95</v>
      </c>
      <c r="Q23" s="28" t="s">
        <v>96</v>
      </c>
    </row>
    <row r="24" spans="1:21" x14ac:dyDescent="0.2">
      <c r="D24" s="15"/>
      <c r="L24" s="25" t="s">
        <v>18</v>
      </c>
    </row>
    <row r="25" spans="1:21" x14ac:dyDescent="0.2">
      <c r="D25" s="15"/>
    </row>
    <row r="26" spans="1:21" s="5" customFormat="1" x14ac:dyDescent="0.2">
      <c r="A26"/>
      <c r="B26"/>
      <c r="C26"/>
      <c r="D26" s="15"/>
      <c r="E26"/>
      <c r="F26"/>
      <c r="G26"/>
      <c r="H26"/>
      <c r="I26"/>
      <c r="J26"/>
      <c r="K26"/>
      <c r="L26"/>
      <c r="M26"/>
      <c r="N26"/>
      <c r="O26"/>
      <c r="P26"/>
      <c r="Q26"/>
      <c r="R26"/>
      <c r="S26"/>
      <c r="T26"/>
    </row>
    <row r="27" spans="1:21" x14ac:dyDescent="0.2">
      <c r="A27" s="7"/>
      <c r="B27" s="6" t="s">
        <v>89</v>
      </c>
      <c r="C27" s="40" t="s">
        <v>64</v>
      </c>
      <c r="E27" s="3">
        <v>2020</v>
      </c>
      <c r="F27" s="7">
        <v>2021</v>
      </c>
      <c r="G27" s="7">
        <v>2022</v>
      </c>
      <c r="H27" s="7">
        <v>2023</v>
      </c>
      <c r="I27" s="7">
        <v>2024</v>
      </c>
      <c r="J27" s="3">
        <v>2025</v>
      </c>
      <c r="K27" s="7">
        <v>2026</v>
      </c>
      <c r="L27" s="16">
        <v>2027</v>
      </c>
      <c r="M27" s="7">
        <v>2028</v>
      </c>
      <c r="N27" s="7">
        <v>2029</v>
      </c>
      <c r="O27" s="7">
        <v>2030</v>
      </c>
      <c r="P27" s="7">
        <v>2031</v>
      </c>
      <c r="Q27" s="7">
        <v>2032</v>
      </c>
      <c r="R27" s="7">
        <v>2033</v>
      </c>
      <c r="S27" s="7">
        <v>2034</v>
      </c>
      <c r="T27" s="7">
        <v>2035</v>
      </c>
    </row>
    <row r="28" spans="1:21" ht="112" x14ac:dyDescent="0.2">
      <c r="A28" s="24"/>
      <c r="B28" t="s">
        <v>10</v>
      </c>
      <c r="C28">
        <f>262000000*1/16000</f>
        <v>16375</v>
      </c>
      <c r="D28" s="5" t="s">
        <v>59</v>
      </c>
      <c r="E28" s="2">
        <f>C28</f>
        <v>16375</v>
      </c>
      <c r="F28" s="2">
        <f>E28*(1+E29)</f>
        <v>16866.25</v>
      </c>
      <c r="G28" s="2">
        <f>F28*(1+F29)</f>
        <v>17372.237499999999</v>
      </c>
      <c r="H28" s="2">
        <f>G28*(1+G29)</f>
        <v>17893.404624999999</v>
      </c>
      <c r="I28" s="2">
        <f t="shared" ref="I28" si="36">H28*(1+H29)</f>
        <v>18430.20676375</v>
      </c>
      <c r="J28" s="2">
        <f t="shared" ref="J28" si="37">I28*(1+I29)</f>
        <v>18983.112966662502</v>
      </c>
      <c r="K28" s="2">
        <f t="shared" ref="K28" si="38">J28*(1+J29)</f>
        <v>19552.606355662378</v>
      </c>
      <c r="L28" s="2">
        <f t="shared" ref="L28" si="39">K28*(1+K29)</f>
        <v>20139.18454633225</v>
      </c>
      <c r="M28" s="2">
        <f t="shared" ref="M28" si="40">L28*(1+L29)</f>
        <v>20743.360082722218</v>
      </c>
      <c r="N28" s="2">
        <f t="shared" ref="N28" si="41">M28*(1+M29)</f>
        <v>21365.660885203884</v>
      </c>
      <c r="O28" s="2">
        <f t="shared" ref="O28" si="42">N28*(1+N29)</f>
        <v>22006.630711760001</v>
      </c>
      <c r="P28" s="2">
        <f t="shared" ref="P28" si="43">O28*(1+O29)</f>
        <v>22666.8296331128</v>
      </c>
      <c r="Q28" s="2">
        <f t="shared" ref="Q28" si="44">P28*(1+P29)</f>
        <v>23346.834522106186</v>
      </c>
      <c r="R28" s="2">
        <f t="shared" ref="R28" si="45">Q28*(1+Q29)</f>
        <v>24047.239557769371</v>
      </c>
      <c r="S28" s="2">
        <f t="shared" ref="S28:T28" si="46">R28*(1+R29)</f>
        <v>24768.656744502452</v>
      </c>
      <c r="T28" s="2">
        <f t="shared" si="46"/>
        <v>25511.716446837527</v>
      </c>
    </row>
    <row r="29" spans="1:21" ht="16" x14ac:dyDescent="0.2">
      <c r="A29" s="24"/>
      <c r="B29" t="s">
        <v>11</v>
      </c>
      <c r="C29" s="31">
        <f>C41*0.5</f>
        <v>0.03</v>
      </c>
      <c r="D29" s="11" t="s">
        <v>85</v>
      </c>
      <c r="E29" s="35">
        <f>C29</f>
        <v>0.03</v>
      </c>
      <c r="F29" s="35">
        <f>E29</f>
        <v>0.03</v>
      </c>
      <c r="G29" s="35">
        <f>F29</f>
        <v>0.03</v>
      </c>
      <c r="H29" s="35">
        <f t="shared" ref="H29" si="47">G29</f>
        <v>0.03</v>
      </c>
      <c r="I29" s="35">
        <f t="shared" ref="I29" si="48">H29</f>
        <v>0.03</v>
      </c>
      <c r="J29" s="35">
        <f t="shared" ref="J29" si="49">I29</f>
        <v>0.03</v>
      </c>
      <c r="K29" s="35">
        <f t="shared" ref="K29" si="50">J29</f>
        <v>0.03</v>
      </c>
      <c r="L29" s="35">
        <f t="shared" ref="L29" si="51">K29</f>
        <v>0.03</v>
      </c>
      <c r="M29" s="35">
        <f t="shared" ref="M29" si="52">L29</f>
        <v>0.03</v>
      </c>
      <c r="N29" s="35">
        <f t="shared" ref="N29" si="53">M29</f>
        <v>0.03</v>
      </c>
      <c r="O29" s="35">
        <f t="shared" ref="O29" si="54">N29</f>
        <v>0.03</v>
      </c>
      <c r="P29" s="35">
        <f t="shared" ref="P29" si="55">O29</f>
        <v>0.03</v>
      </c>
      <c r="Q29" s="35">
        <f t="shared" ref="Q29" si="56">P29</f>
        <v>0.03</v>
      </c>
      <c r="R29" s="35">
        <f t="shared" ref="R29" si="57">Q29</f>
        <v>0.03</v>
      </c>
      <c r="S29" s="35">
        <f t="shared" ref="S29:T29" si="58">R29</f>
        <v>0.03</v>
      </c>
      <c r="T29" s="35">
        <f t="shared" si="58"/>
        <v>0.03</v>
      </c>
    </row>
    <row r="30" spans="1:21" x14ac:dyDescent="0.2">
      <c r="A30" s="24"/>
      <c r="B30" s="1" t="s">
        <v>44</v>
      </c>
      <c r="C30" s="1"/>
      <c r="D30" t="s">
        <v>72</v>
      </c>
      <c r="U30" s="2"/>
    </row>
    <row r="31" spans="1:21" ht="128" x14ac:dyDescent="0.2">
      <c r="A31" s="24"/>
      <c r="B31" t="s">
        <v>47</v>
      </c>
      <c r="C31" s="14">
        <v>460000</v>
      </c>
      <c r="D31" s="5" t="s">
        <v>60</v>
      </c>
      <c r="L31" s="2">
        <f>C31</f>
        <v>460000</v>
      </c>
      <c r="M31" s="2">
        <f t="shared" ref="M31:T31" si="59">L31*(1+M32)</f>
        <v>462299.99999999994</v>
      </c>
      <c r="N31" s="2">
        <f t="shared" si="59"/>
        <v>464611.49999999988</v>
      </c>
      <c r="O31" s="2">
        <f t="shared" si="59"/>
        <v>466934.55749999982</v>
      </c>
      <c r="P31" s="2">
        <f t="shared" si="59"/>
        <v>469269.23028749978</v>
      </c>
      <c r="Q31" s="2">
        <f t="shared" si="59"/>
        <v>471615.57643893722</v>
      </c>
      <c r="R31" s="2">
        <f t="shared" si="59"/>
        <v>473973.65432113188</v>
      </c>
      <c r="S31" s="2">
        <f t="shared" si="59"/>
        <v>476343.52259273751</v>
      </c>
      <c r="T31" s="2">
        <f t="shared" si="59"/>
        <v>478725.24020570115</v>
      </c>
      <c r="U31" s="2"/>
    </row>
    <row r="32" spans="1:21" x14ac:dyDescent="0.2">
      <c r="A32" s="24"/>
      <c r="B32" s="10" t="s">
        <v>12</v>
      </c>
      <c r="L32">
        <v>5.0000000000000001E-3</v>
      </c>
      <c r="M32">
        <v>5.0000000000000001E-3</v>
      </c>
      <c r="N32">
        <v>5.0000000000000001E-3</v>
      </c>
      <c r="O32">
        <f>N32</f>
        <v>5.0000000000000001E-3</v>
      </c>
      <c r="P32">
        <f t="shared" ref="P32" si="60">O32</f>
        <v>5.0000000000000001E-3</v>
      </c>
      <c r="Q32">
        <f t="shared" ref="Q32" si="61">P32</f>
        <v>5.0000000000000001E-3</v>
      </c>
      <c r="R32">
        <f t="shared" ref="R32" si="62">Q32</f>
        <v>5.0000000000000001E-3</v>
      </c>
      <c r="S32">
        <f t="shared" ref="S32:T32" si="63">R32</f>
        <v>5.0000000000000001E-3</v>
      </c>
      <c r="T32">
        <f t="shared" si="63"/>
        <v>5.0000000000000001E-3</v>
      </c>
      <c r="U32" s="2"/>
    </row>
    <row r="33" spans="1:20" x14ac:dyDescent="0.2">
      <c r="A33" s="24"/>
      <c r="B33" s="10" t="s">
        <v>6</v>
      </c>
      <c r="L33" s="24">
        <v>2E-3</v>
      </c>
      <c r="M33">
        <f>L33+0.003</f>
        <v>5.0000000000000001E-3</v>
      </c>
      <c r="N33">
        <f>M33+0.007</f>
        <v>1.2E-2</v>
      </c>
      <c r="O33">
        <f>N33+0.01</f>
        <v>2.1999999999999999E-2</v>
      </c>
      <c r="P33">
        <f>O33+0.012</f>
        <v>3.4000000000000002E-2</v>
      </c>
      <c r="Q33">
        <f>P33+0.015</f>
        <v>4.9000000000000002E-2</v>
      </c>
      <c r="R33">
        <f t="shared" ref="R33:T33" si="64">Q33+0.015</f>
        <v>6.4000000000000001E-2</v>
      </c>
      <c r="S33">
        <f t="shared" si="64"/>
        <v>7.9000000000000001E-2</v>
      </c>
      <c r="T33">
        <f t="shared" si="64"/>
        <v>9.4E-2</v>
      </c>
    </row>
    <row r="34" spans="1:20" x14ac:dyDescent="0.2">
      <c r="B34" t="s">
        <v>13</v>
      </c>
      <c r="L34" s="4">
        <f t="shared" ref="L34:T34" si="65">L28*L31*L33</f>
        <v>18528049.782625671</v>
      </c>
      <c r="M34" s="4">
        <f t="shared" si="65"/>
        <v>47948276.831212394</v>
      </c>
      <c r="N34" s="4">
        <f t="shared" si="65"/>
        <v>119120781.02839082</v>
      </c>
      <c r="O34" s="4">
        <f t="shared" si="65"/>
        <v>226064440.21615434</v>
      </c>
      <c r="P34" s="4">
        <f t="shared" si="65"/>
        <v>361652753.62961704</v>
      </c>
      <c r="Q34" s="4">
        <f t="shared" si="65"/>
        <v>539525810.23721194</v>
      </c>
      <c r="R34" s="4">
        <f t="shared" si="65"/>
        <v>729456512.61002421</v>
      </c>
      <c r="S34" s="4">
        <f t="shared" si="65"/>
        <v>932072747.08176649</v>
      </c>
      <c r="T34" s="4">
        <f t="shared" si="65"/>
        <v>1148031642.902771</v>
      </c>
    </row>
    <row r="35" spans="1:20" x14ac:dyDescent="0.2">
      <c r="B35" t="s">
        <v>66</v>
      </c>
      <c r="C35" s="41">
        <v>0.57099999999999995</v>
      </c>
      <c r="L35" s="4"/>
      <c r="M35" s="4"/>
      <c r="N35" s="4"/>
      <c r="O35" s="4"/>
      <c r="P35" s="4"/>
      <c r="Q35" s="4"/>
      <c r="R35" s="4"/>
      <c r="S35" s="4"/>
    </row>
    <row r="36" spans="1:20" ht="112" x14ac:dyDescent="0.2">
      <c r="D36" s="15"/>
      <c r="E36" s="23"/>
      <c r="F36" s="23"/>
      <c r="G36" s="23"/>
      <c r="H36" s="28"/>
      <c r="I36" s="28"/>
      <c r="L36" s="28" t="s">
        <v>33</v>
      </c>
      <c r="M36" s="28" t="s">
        <v>25</v>
      </c>
      <c r="N36" s="28" t="s">
        <v>93</v>
      </c>
      <c r="O36" s="28" t="s">
        <v>94</v>
      </c>
      <c r="P36" s="28" t="s">
        <v>95</v>
      </c>
      <c r="Q36" s="28" t="s">
        <v>96</v>
      </c>
    </row>
    <row r="37" spans="1:20" x14ac:dyDescent="0.2">
      <c r="D37" s="15"/>
      <c r="L37" s="25" t="s">
        <v>18</v>
      </c>
    </row>
    <row r="38" spans="1:20" x14ac:dyDescent="0.2">
      <c r="D38" s="15"/>
    </row>
    <row r="39" spans="1:20" x14ac:dyDescent="0.2">
      <c r="A39" s="7"/>
      <c r="B39" s="6" t="s">
        <v>90</v>
      </c>
      <c r="C39" s="40" t="s">
        <v>69</v>
      </c>
      <c r="E39" s="3">
        <v>2020</v>
      </c>
      <c r="F39" s="7">
        <v>2021</v>
      </c>
      <c r="G39" s="7">
        <v>2022</v>
      </c>
      <c r="H39" s="7">
        <v>2023</v>
      </c>
      <c r="I39" s="7">
        <v>2024</v>
      </c>
      <c r="J39" s="3">
        <v>2025</v>
      </c>
      <c r="K39" s="7">
        <v>2026</v>
      </c>
      <c r="L39" s="7">
        <v>2027</v>
      </c>
      <c r="M39" s="7">
        <v>2028</v>
      </c>
      <c r="N39" s="16">
        <v>2029</v>
      </c>
      <c r="O39" s="7">
        <v>2030</v>
      </c>
      <c r="P39" s="7">
        <v>2031</v>
      </c>
      <c r="Q39" s="7">
        <v>2032</v>
      </c>
      <c r="R39" s="7">
        <v>2033</v>
      </c>
      <c r="S39" s="7">
        <v>2034</v>
      </c>
      <c r="T39" s="7">
        <v>2035</v>
      </c>
    </row>
    <row r="40" spans="1:20" s="20" customFormat="1" ht="176" x14ac:dyDescent="0.2">
      <c r="A40" s="24"/>
      <c r="B40" t="s">
        <v>14</v>
      </c>
      <c r="C40">
        <f>72800000*1/16000</f>
        <v>4550</v>
      </c>
      <c r="D40" s="5" t="s">
        <v>61</v>
      </c>
      <c r="E40" s="2">
        <f>C40</f>
        <v>4550</v>
      </c>
      <c r="F40" s="2">
        <f>E40*(1+E41)</f>
        <v>4823</v>
      </c>
      <c r="G40" s="2">
        <f>F40*(1+F41)</f>
        <v>5112.38</v>
      </c>
      <c r="H40" s="2">
        <f>G40*(1+G41)</f>
        <v>5419.1228000000001</v>
      </c>
      <c r="I40" s="2">
        <f t="shared" ref="I40" si="66">H40*(1+H41)</f>
        <v>5744.270168</v>
      </c>
      <c r="J40" s="2">
        <f t="shared" ref="J40" si="67">I40*(1+I41)</f>
        <v>6088.9263780800002</v>
      </c>
      <c r="K40" s="2">
        <f t="shared" ref="K40" si="68">J40*(1+J41)</f>
        <v>6454.2619607648003</v>
      </c>
      <c r="L40" s="2">
        <f t="shared" ref="L40" si="69">K40*(1+K41)</f>
        <v>6841.5176784106889</v>
      </c>
      <c r="M40" s="2">
        <f t="shared" ref="M40" si="70">L40*(1+L41)</f>
        <v>7252.0087391153302</v>
      </c>
      <c r="N40" s="2">
        <f t="shared" ref="N40" si="71">M40*(1+M41)</f>
        <v>7687.1292634622505</v>
      </c>
      <c r="O40" s="2">
        <f t="shared" ref="O40" si="72">N40*(1+N41)</f>
        <v>8148.3570192699863</v>
      </c>
      <c r="P40" s="2">
        <f t="shared" ref="P40" si="73">O40*(1+O41)</f>
        <v>8637.2584404261852</v>
      </c>
      <c r="Q40" s="2">
        <f t="shared" ref="Q40" si="74">P40*(1+P41)</f>
        <v>9155.4939468517568</v>
      </c>
      <c r="R40" s="2">
        <f t="shared" ref="R40" si="75">Q40*(1+Q41)</f>
        <v>9704.8235836628628</v>
      </c>
      <c r="S40" s="2">
        <f t="shared" ref="S40:T40" si="76">R40*(1+R41)</f>
        <v>10287.112998682634</v>
      </c>
      <c r="T40" s="2">
        <f t="shared" si="76"/>
        <v>10904.339778603593</v>
      </c>
    </row>
    <row r="41" spans="1:20" ht="16" x14ac:dyDescent="0.2">
      <c r="A41" s="24"/>
      <c r="B41" t="s">
        <v>15</v>
      </c>
      <c r="C41" s="33">
        <v>0.06</v>
      </c>
      <c r="D41" s="11" t="s">
        <v>62</v>
      </c>
      <c r="E41" s="29">
        <f>C41</f>
        <v>0.06</v>
      </c>
      <c r="F41" s="29">
        <f>E41</f>
        <v>0.06</v>
      </c>
      <c r="G41" s="29">
        <f>F41</f>
        <v>0.06</v>
      </c>
      <c r="H41" s="29">
        <f t="shared" ref="H41" si="77">G41</f>
        <v>0.06</v>
      </c>
      <c r="I41" s="29">
        <f t="shared" ref="I41" si="78">H41</f>
        <v>0.06</v>
      </c>
      <c r="J41" s="29">
        <f t="shared" ref="J41" si="79">I41</f>
        <v>0.06</v>
      </c>
      <c r="K41" s="29">
        <f t="shared" ref="K41" si="80">J41</f>
        <v>0.06</v>
      </c>
      <c r="L41" s="29">
        <f t="shared" ref="L41" si="81">K41</f>
        <v>0.06</v>
      </c>
      <c r="M41" s="29">
        <f t="shared" ref="M41" si="82">L41</f>
        <v>0.06</v>
      </c>
      <c r="N41" s="29">
        <f t="shared" ref="N41" si="83">M41</f>
        <v>0.06</v>
      </c>
      <c r="O41" s="29">
        <f t="shared" ref="O41" si="84">N41</f>
        <v>0.06</v>
      </c>
      <c r="P41" s="29">
        <f t="shared" ref="P41" si="85">O41</f>
        <v>0.06</v>
      </c>
      <c r="Q41" s="29">
        <f t="shared" ref="Q41" si="86">P41</f>
        <v>0.06</v>
      </c>
      <c r="R41" s="29">
        <f t="shared" ref="R41" si="87">Q41</f>
        <v>0.06</v>
      </c>
      <c r="S41" s="29">
        <f t="shared" ref="S41:T41" si="88">R41</f>
        <v>0.06</v>
      </c>
      <c r="T41" s="29">
        <f t="shared" si="88"/>
        <v>0.06</v>
      </c>
    </row>
    <row r="42" spans="1:20" x14ac:dyDescent="0.2">
      <c r="A42" s="24"/>
      <c r="B42" s="1" t="s">
        <v>73</v>
      </c>
      <c r="C42" s="1"/>
      <c r="D42" t="s">
        <v>74</v>
      </c>
    </row>
    <row r="43" spans="1:20" ht="128" x14ac:dyDescent="0.2">
      <c r="A43" s="24"/>
      <c r="B43" t="s">
        <v>48</v>
      </c>
      <c r="C43" s="14">
        <v>230000</v>
      </c>
      <c r="D43" s="5" t="s">
        <v>60</v>
      </c>
      <c r="N43" s="2">
        <f>C43</f>
        <v>230000</v>
      </c>
      <c r="O43" s="2">
        <f t="shared" ref="O43:T43" si="89">N43*(1+O44)</f>
        <v>231149.99999999997</v>
      </c>
      <c r="P43" s="2">
        <f t="shared" si="89"/>
        <v>232305.74999999994</v>
      </c>
      <c r="Q43" s="2">
        <f t="shared" si="89"/>
        <v>233467.27874999991</v>
      </c>
      <c r="R43" s="2">
        <f t="shared" si="89"/>
        <v>234634.61514374989</v>
      </c>
      <c r="S43" s="2">
        <f t="shared" si="89"/>
        <v>235807.78821946861</v>
      </c>
      <c r="T43" s="2">
        <f t="shared" si="89"/>
        <v>236986.82716056594</v>
      </c>
    </row>
    <row r="44" spans="1:20" x14ac:dyDescent="0.2">
      <c r="A44" s="24"/>
      <c r="B44" s="10" t="s">
        <v>16</v>
      </c>
      <c r="N44">
        <v>5.0000000000000001E-3</v>
      </c>
      <c r="O44">
        <f>N44</f>
        <v>5.0000000000000001E-3</v>
      </c>
      <c r="P44">
        <f t="shared" ref="P44" si="90">O44</f>
        <v>5.0000000000000001E-3</v>
      </c>
      <c r="Q44">
        <f t="shared" ref="Q44" si="91">P44</f>
        <v>5.0000000000000001E-3</v>
      </c>
      <c r="R44">
        <f t="shared" ref="R44" si="92">Q44</f>
        <v>5.0000000000000001E-3</v>
      </c>
      <c r="S44">
        <f t="shared" ref="S44:T44" si="93">R44</f>
        <v>5.0000000000000001E-3</v>
      </c>
      <c r="T44">
        <f t="shared" si="93"/>
        <v>5.0000000000000001E-3</v>
      </c>
    </row>
    <row r="45" spans="1:20" x14ac:dyDescent="0.2">
      <c r="A45" s="24"/>
      <c r="B45" s="10" t="s">
        <v>6</v>
      </c>
      <c r="N45" s="24">
        <v>2E-3</v>
      </c>
      <c r="O45">
        <f>N45+0.003</f>
        <v>5.0000000000000001E-3</v>
      </c>
      <c r="P45">
        <f>O45+0.007</f>
        <v>1.2E-2</v>
      </c>
      <c r="Q45">
        <f>P45+0.01</f>
        <v>2.1999999999999999E-2</v>
      </c>
      <c r="R45">
        <f>Q45+0.012</f>
        <v>3.4000000000000002E-2</v>
      </c>
      <c r="S45">
        <f>R45+0.015</f>
        <v>4.9000000000000002E-2</v>
      </c>
      <c r="T45">
        <f>S45+0.015</f>
        <v>6.4000000000000001E-2</v>
      </c>
    </row>
    <row r="46" spans="1:20" x14ac:dyDescent="0.2">
      <c r="B46" t="s">
        <v>17</v>
      </c>
      <c r="N46" s="4">
        <f t="shared" ref="N46:T46" si="94">N40*N43*N45</f>
        <v>3536079.4611926354</v>
      </c>
      <c r="O46" s="4">
        <f t="shared" si="94"/>
        <v>9417463.6250212863</v>
      </c>
      <c r="P46" s="4">
        <f t="shared" si="94"/>
        <v>24077817.599364419</v>
      </c>
      <c r="Q46" s="4">
        <f t="shared" si="94"/>
        <v>47025181.662438668</v>
      </c>
      <c r="R46" s="4">
        <f t="shared" si="94"/>
        <v>77420976.5840846</v>
      </c>
      <c r="S46" s="4">
        <f t="shared" si="94"/>
        <v>118863286.80577177</v>
      </c>
      <c r="T46" s="4">
        <f t="shared" si="94"/>
        <v>165387832.73036888</v>
      </c>
    </row>
    <row r="47" spans="1:20" x14ac:dyDescent="0.2">
      <c r="B47" t="s">
        <v>67</v>
      </c>
      <c r="C47" s="41">
        <v>0.152</v>
      </c>
      <c r="J47" s="4"/>
      <c r="K47" s="4"/>
      <c r="L47" s="4"/>
      <c r="M47" s="4"/>
      <c r="N47" s="4"/>
      <c r="O47" s="4"/>
      <c r="P47" s="4"/>
      <c r="Q47" s="4"/>
      <c r="R47" s="4"/>
      <c r="S47" s="4"/>
    </row>
    <row r="48" spans="1:20" ht="128" x14ac:dyDescent="0.2">
      <c r="D48" s="15"/>
      <c r="E48" s="23"/>
      <c r="F48" s="23"/>
      <c r="G48" s="23"/>
      <c r="H48" s="28"/>
      <c r="I48" s="28"/>
      <c r="N48" s="28" t="s">
        <v>33</v>
      </c>
      <c r="O48" s="28" t="s">
        <v>25</v>
      </c>
      <c r="P48" s="28" t="s">
        <v>93</v>
      </c>
      <c r="Q48" s="28" t="s">
        <v>94</v>
      </c>
      <c r="R48" s="28" t="s">
        <v>95</v>
      </c>
      <c r="S48" s="28" t="s">
        <v>96</v>
      </c>
    </row>
    <row r="49" spans="1:21" x14ac:dyDescent="0.2">
      <c r="D49" s="15"/>
      <c r="N49" s="25" t="s">
        <v>18</v>
      </c>
    </row>
    <row r="50" spans="1:21" x14ac:dyDescent="0.2">
      <c r="D50" s="15"/>
    </row>
    <row r="51" spans="1:21" x14ac:dyDescent="0.2">
      <c r="A51" s="7"/>
      <c r="B51" s="6" t="s">
        <v>91</v>
      </c>
      <c r="C51" s="42" t="s">
        <v>69</v>
      </c>
      <c r="E51" s="3">
        <v>2020</v>
      </c>
      <c r="F51" s="7">
        <v>2021</v>
      </c>
      <c r="G51" s="7">
        <v>2022</v>
      </c>
      <c r="H51" s="7">
        <v>2023</v>
      </c>
      <c r="I51" s="7">
        <v>2024</v>
      </c>
      <c r="J51" s="7">
        <v>2025</v>
      </c>
      <c r="K51" s="7">
        <v>2026</v>
      </c>
      <c r="L51" s="7">
        <v>2027</v>
      </c>
      <c r="M51" s="7">
        <v>2028</v>
      </c>
      <c r="N51" s="7">
        <v>2029</v>
      </c>
      <c r="O51" s="16">
        <v>2030</v>
      </c>
      <c r="P51" s="7">
        <v>2031</v>
      </c>
      <c r="Q51" s="7">
        <v>2032</v>
      </c>
      <c r="R51" s="7">
        <v>2033</v>
      </c>
      <c r="S51" s="7">
        <v>2034</v>
      </c>
      <c r="T51" s="7">
        <v>2035</v>
      </c>
    </row>
    <row r="52" spans="1:21" ht="176" x14ac:dyDescent="0.2">
      <c r="A52" s="24"/>
      <c r="B52" t="s">
        <v>49</v>
      </c>
      <c r="C52">
        <f>262000000*2.4/1000000*0.825</f>
        <v>518.76</v>
      </c>
      <c r="D52" s="5" t="s">
        <v>61</v>
      </c>
      <c r="E52" s="2">
        <f>C52</f>
        <v>518.76</v>
      </c>
      <c r="F52" s="2">
        <f>E52*(1+E53)</f>
        <v>518.76145252800006</v>
      </c>
      <c r="G52" s="2">
        <f>F52*(1+F53)</f>
        <v>518.76290506006717</v>
      </c>
      <c r="H52" s="2">
        <f>G52*(1+G53)</f>
        <v>518.76435759620142</v>
      </c>
      <c r="I52" s="2">
        <f t="shared" ref="I52" si="95">H52*(1+H53)</f>
        <v>518.76581013640271</v>
      </c>
      <c r="J52" s="2">
        <f t="shared" ref="J52" si="96">I52*(1+I53)</f>
        <v>518.76726268067114</v>
      </c>
      <c r="K52" s="2">
        <f t="shared" ref="K52" si="97">J52*(1+J53)</f>
        <v>518.76871522900672</v>
      </c>
      <c r="L52" s="2">
        <f t="shared" ref="L52" si="98">K52*(1+K53)</f>
        <v>518.77016778140944</v>
      </c>
      <c r="M52" s="2">
        <f t="shared" ref="M52" si="99">L52*(1+L53)</f>
        <v>518.77162033787931</v>
      </c>
      <c r="N52" s="2">
        <f t="shared" ref="N52" si="100">M52*(1+M53)</f>
        <v>518.77307289841633</v>
      </c>
      <c r="O52" s="2">
        <f t="shared" ref="O52" si="101">N52*(1+N53)</f>
        <v>518.7745254630205</v>
      </c>
      <c r="P52" s="2">
        <f t="shared" ref="P52" si="102">O52*(1+O53)</f>
        <v>518.77597803169181</v>
      </c>
      <c r="Q52" s="2">
        <f t="shared" ref="Q52" si="103">P52*(1+P53)</f>
        <v>518.77743060443038</v>
      </c>
      <c r="R52" s="2">
        <f t="shared" ref="R52" si="104">Q52*(1+Q53)</f>
        <v>518.7788831812361</v>
      </c>
      <c r="S52" s="2">
        <f t="shared" ref="S52:T52" si="105">R52*(1+R53)</f>
        <v>518.78033576210908</v>
      </c>
      <c r="T52" s="2">
        <f t="shared" si="105"/>
        <v>518.7817883470492</v>
      </c>
    </row>
    <row r="53" spans="1:21" ht="32" x14ac:dyDescent="0.2">
      <c r="A53" s="24"/>
      <c r="B53" t="s">
        <v>50</v>
      </c>
      <c r="C53" s="30">
        <f>(0.7/200000)*0.8</f>
        <v>2.8000000000000003E-6</v>
      </c>
      <c r="D53" s="11" t="s">
        <v>76</v>
      </c>
      <c r="E53" s="34">
        <f>C53</f>
        <v>2.8000000000000003E-6</v>
      </c>
      <c r="F53" s="34">
        <f>E53</f>
        <v>2.8000000000000003E-6</v>
      </c>
      <c r="G53" s="34">
        <f>F53</f>
        <v>2.8000000000000003E-6</v>
      </c>
      <c r="H53" s="34">
        <f t="shared" ref="H53" si="106">G53</f>
        <v>2.8000000000000003E-6</v>
      </c>
      <c r="I53" s="34">
        <f t="shared" ref="I53" si="107">H53</f>
        <v>2.8000000000000003E-6</v>
      </c>
      <c r="J53" s="34">
        <f t="shared" ref="J53" si="108">I53</f>
        <v>2.8000000000000003E-6</v>
      </c>
      <c r="K53" s="34">
        <f t="shared" ref="K53" si="109">J53</f>
        <v>2.8000000000000003E-6</v>
      </c>
      <c r="L53" s="34">
        <f t="shared" ref="L53" si="110">K53</f>
        <v>2.8000000000000003E-6</v>
      </c>
      <c r="M53" s="34">
        <f t="shared" ref="M53" si="111">L53</f>
        <v>2.8000000000000003E-6</v>
      </c>
      <c r="N53" s="34">
        <f t="shared" ref="N53" si="112">M53</f>
        <v>2.8000000000000003E-6</v>
      </c>
      <c r="O53" s="34">
        <f t="shared" ref="O53" si="113">N53</f>
        <v>2.8000000000000003E-6</v>
      </c>
      <c r="P53" s="34">
        <f t="shared" ref="P53" si="114">O53</f>
        <v>2.8000000000000003E-6</v>
      </c>
      <c r="Q53" s="34">
        <f t="shared" ref="Q53" si="115">P53</f>
        <v>2.8000000000000003E-6</v>
      </c>
      <c r="R53" s="34">
        <f t="shared" ref="R53" si="116">Q53</f>
        <v>2.8000000000000003E-6</v>
      </c>
      <c r="S53" s="34">
        <f t="shared" ref="S53:T53" si="117">R53</f>
        <v>2.8000000000000003E-6</v>
      </c>
      <c r="T53" s="34">
        <f t="shared" si="117"/>
        <v>2.8000000000000003E-6</v>
      </c>
    </row>
    <row r="54" spans="1:21" x14ac:dyDescent="0.2">
      <c r="A54" s="24"/>
      <c r="B54" s="1" t="s">
        <v>77</v>
      </c>
      <c r="C54" s="1"/>
      <c r="D54" t="s">
        <v>78</v>
      </c>
    </row>
    <row r="55" spans="1:21" x14ac:dyDescent="0.2">
      <c r="A55" s="24"/>
      <c r="B55" t="s">
        <v>51</v>
      </c>
      <c r="C55" s="14">
        <v>460000</v>
      </c>
      <c r="D55" t="s">
        <v>75</v>
      </c>
      <c r="O55" s="2">
        <f>C55</f>
        <v>460000</v>
      </c>
      <c r="P55" s="2">
        <f>O55*(1+P56)</f>
        <v>462299.99999999994</v>
      </c>
      <c r="Q55" s="2">
        <f>P55*(1+Q56)</f>
        <v>464611.49999999988</v>
      </c>
      <c r="R55" s="2">
        <f>Q55*(1+R56)</f>
        <v>466934.55749999982</v>
      </c>
      <c r="S55" s="2">
        <f>R55*(1+S56)</f>
        <v>469269.23028749978</v>
      </c>
      <c r="T55" s="2">
        <f>S55*(1+T56)</f>
        <v>940884.80672643706</v>
      </c>
      <c r="U55" s="2"/>
    </row>
    <row r="56" spans="1:21" x14ac:dyDescent="0.2">
      <c r="A56" s="24"/>
      <c r="B56" s="10" t="s">
        <v>52</v>
      </c>
      <c r="O56">
        <v>5.0000000000000001E-3</v>
      </c>
      <c r="P56">
        <v>5.0000000000000001E-3</v>
      </c>
      <c r="Q56">
        <v>5.0000000000000001E-3</v>
      </c>
      <c r="R56">
        <v>5.0000000000000001E-3</v>
      </c>
      <c r="S56">
        <v>5.0000000000000001E-3</v>
      </c>
      <c r="T56">
        <v>1.0049999999999999</v>
      </c>
    </row>
    <row r="57" spans="1:21" x14ac:dyDescent="0.2">
      <c r="A57" s="24"/>
      <c r="B57" s="10" t="s">
        <v>6</v>
      </c>
      <c r="O57" s="24">
        <v>2E-3</v>
      </c>
      <c r="P57">
        <f>O57+0.003</f>
        <v>5.0000000000000001E-3</v>
      </c>
      <c r="Q57">
        <f>P57+0.007</f>
        <v>1.2E-2</v>
      </c>
      <c r="R57">
        <f>Q57+0.01</f>
        <v>2.1999999999999999E-2</v>
      </c>
      <c r="S57">
        <f>R57+0.012</f>
        <v>3.4000000000000002E-2</v>
      </c>
      <c r="T57">
        <f>S57+0.015</f>
        <v>4.9000000000000002E-2</v>
      </c>
    </row>
    <row r="58" spans="1:21" x14ac:dyDescent="0.2">
      <c r="A58" s="24"/>
      <c r="B58" t="s">
        <v>53</v>
      </c>
      <c r="O58" s="4">
        <f t="shared" ref="O58:T58" si="118">O52*O55*O57</f>
        <v>477272.56342597882</v>
      </c>
      <c r="P58" s="4">
        <f t="shared" si="118"/>
        <v>1199150.6732202556</v>
      </c>
      <c r="Q58" s="4">
        <f t="shared" si="118"/>
        <v>2892359.5223912429</v>
      </c>
      <c r="R58" s="4">
        <f t="shared" si="118"/>
        <v>5329187.3416886404</v>
      </c>
      <c r="S58" s="4">
        <f t="shared" si="118"/>
        <v>8277220.0609467709</v>
      </c>
      <c r="T58" s="4">
        <f t="shared" si="118"/>
        <v>23917581.230443332</v>
      </c>
      <c r="U58" s="4"/>
    </row>
    <row r="59" spans="1:21" x14ac:dyDescent="0.2">
      <c r="B59" t="s">
        <v>67</v>
      </c>
      <c r="C59" s="41">
        <v>0.152</v>
      </c>
      <c r="M59" s="4"/>
      <c r="N59" s="4"/>
      <c r="O59" s="4"/>
      <c r="P59" s="4"/>
      <c r="Q59" s="4"/>
      <c r="R59" s="4"/>
      <c r="S59" s="4"/>
      <c r="T59" s="4"/>
    </row>
    <row r="60" spans="1:21" ht="112" x14ac:dyDescent="0.2">
      <c r="D60" s="15"/>
      <c r="E60" s="23"/>
      <c r="F60" s="23"/>
      <c r="G60" s="23"/>
      <c r="H60" s="28"/>
      <c r="I60" s="28"/>
      <c r="O60" s="28" t="s">
        <v>33</v>
      </c>
      <c r="P60" s="28" t="s">
        <v>25</v>
      </c>
      <c r="Q60" s="28" t="s">
        <v>93</v>
      </c>
      <c r="R60" s="28" t="s">
        <v>94</v>
      </c>
      <c r="S60" s="28" t="s">
        <v>95</v>
      </c>
      <c r="T60" s="28" t="s">
        <v>96</v>
      </c>
    </row>
    <row r="61" spans="1:21" x14ac:dyDescent="0.2">
      <c r="D61" s="15"/>
      <c r="O61" s="25" t="s">
        <v>18</v>
      </c>
    </row>
    <row r="62" spans="1:21" x14ac:dyDescent="0.2">
      <c r="D62" s="15"/>
    </row>
    <row r="63" spans="1:21" x14ac:dyDescent="0.2">
      <c r="A63" s="7"/>
      <c r="B63" s="6" t="s">
        <v>92</v>
      </c>
      <c r="C63" s="42" t="s">
        <v>70</v>
      </c>
      <c r="E63" s="3">
        <v>2020</v>
      </c>
      <c r="F63" s="7">
        <v>2021</v>
      </c>
      <c r="G63" s="7">
        <v>2022</v>
      </c>
      <c r="H63" s="7">
        <v>2023</v>
      </c>
      <c r="I63" s="7">
        <v>2024</v>
      </c>
      <c r="J63" s="7">
        <v>2025</v>
      </c>
      <c r="K63" s="7">
        <v>2026</v>
      </c>
      <c r="L63" s="7">
        <v>2027</v>
      </c>
      <c r="M63" s="7">
        <v>2028</v>
      </c>
      <c r="N63" s="7">
        <v>2029</v>
      </c>
      <c r="O63" s="7">
        <v>2030</v>
      </c>
      <c r="P63" s="7">
        <v>2031</v>
      </c>
      <c r="Q63" s="7">
        <v>2032</v>
      </c>
      <c r="R63" s="16">
        <v>2033</v>
      </c>
      <c r="S63" s="7">
        <v>2034</v>
      </c>
      <c r="T63" s="7">
        <v>2035</v>
      </c>
    </row>
    <row r="64" spans="1:21" ht="64" x14ac:dyDescent="0.2">
      <c r="A64" s="24"/>
      <c r="B64" t="s">
        <v>54</v>
      </c>
      <c r="C64">
        <f>243896*0.22*0.66</f>
        <v>35413.699200000003</v>
      </c>
      <c r="D64" s="5" t="s">
        <v>79</v>
      </c>
      <c r="E64" s="2">
        <f>C64</f>
        <v>35413.699200000003</v>
      </c>
      <c r="F64" s="2">
        <f>E64*(1+E65)</f>
        <v>37703.899200000007</v>
      </c>
      <c r="G64" s="2">
        <f>F64*(1+F65)</f>
        <v>40142.206180024281</v>
      </c>
      <c r="H64" s="2">
        <f>G64*(1+G65)</f>
        <v>42738.19820204642</v>
      </c>
      <c r="I64" s="2">
        <f t="shared" ref="I64" si="119">H64*(1+H65)</f>
        <v>45502.072740245661</v>
      </c>
      <c r="J64" s="2">
        <f t="shared" ref="J64" si="120">I64*(1+I65)</f>
        <v>48444.686738325552</v>
      </c>
      <c r="K64" s="2">
        <f t="shared" ref="K64" si="121">J64*(1+J65)</f>
        <v>51577.599257334958</v>
      </c>
      <c r="L64" s="2">
        <f t="shared" ref="L64" si="122">K64*(1+K65)</f>
        <v>54913.116881518894</v>
      </c>
      <c r="M64" s="2">
        <f t="shared" ref="M64" si="123">L64*(1+L65)</f>
        <v>58464.342060560761</v>
      </c>
      <c r="N64" s="2">
        <f t="shared" ref="N64" si="124">M64*(1+M65)</f>
        <v>62245.224578111949</v>
      </c>
      <c r="O64" s="2">
        <f t="shared" ref="O64" si="125">N64*(1+N65)</f>
        <v>66270.616348785596</v>
      </c>
      <c r="P64" s="2">
        <f t="shared" ref="P64" si="126">O64*(1+O65)</f>
        <v>70556.329758865861</v>
      </c>
      <c r="Q64" s="2">
        <f t="shared" ref="Q64" si="127">P64*(1+P65)</f>
        <v>75119.199779904346</v>
      </c>
      <c r="R64" s="2">
        <f t="shared" ref="R64" si="128">Q64*(1+Q65)</f>
        <v>79977.150099195962</v>
      </c>
      <c r="S64" s="2">
        <f t="shared" ref="S64:T64" si="129">R64*(1+R65)</f>
        <v>85149.263526905284</v>
      </c>
      <c r="T64" s="2">
        <f t="shared" si="129"/>
        <v>90655.85695641402</v>
      </c>
    </row>
    <row r="65" spans="1:20" ht="16" x14ac:dyDescent="0.2">
      <c r="A65" s="24"/>
      <c r="B65" t="s">
        <v>55</v>
      </c>
      <c r="C65" s="33">
        <f>22902/C64*0.1</f>
        <v>6.466988910325415E-2</v>
      </c>
      <c r="D65" s="11" t="s">
        <v>80</v>
      </c>
      <c r="E65" s="29">
        <f>C65</f>
        <v>6.466988910325415E-2</v>
      </c>
      <c r="F65" s="29">
        <f>E65</f>
        <v>6.466988910325415E-2</v>
      </c>
      <c r="G65" s="29">
        <f>F65</f>
        <v>6.466988910325415E-2</v>
      </c>
      <c r="H65" s="29">
        <f t="shared" ref="H65" si="130">G65</f>
        <v>6.466988910325415E-2</v>
      </c>
      <c r="I65" s="29">
        <f t="shared" ref="I65" si="131">H65</f>
        <v>6.466988910325415E-2</v>
      </c>
      <c r="J65" s="29">
        <f t="shared" ref="J65" si="132">I65</f>
        <v>6.466988910325415E-2</v>
      </c>
      <c r="K65" s="29">
        <f t="shared" ref="K65" si="133">J65</f>
        <v>6.466988910325415E-2</v>
      </c>
      <c r="L65" s="29">
        <f t="shared" ref="L65" si="134">K65</f>
        <v>6.466988910325415E-2</v>
      </c>
      <c r="M65" s="29">
        <f t="shared" ref="M65" si="135">L65</f>
        <v>6.466988910325415E-2</v>
      </c>
      <c r="N65" s="29">
        <f t="shared" ref="N65" si="136">M65</f>
        <v>6.466988910325415E-2</v>
      </c>
      <c r="O65" s="29">
        <f t="shared" ref="O65" si="137">N65</f>
        <v>6.466988910325415E-2</v>
      </c>
      <c r="P65" s="29">
        <f t="shared" ref="P65" si="138">O65</f>
        <v>6.466988910325415E-2</v>
      </c>
      <c r="Q65" s="29">
        <f t="shared" ref="Q65" si="139">P65</f>
        <v>6.466988910325415E-2</v>
      </c>
      <c r="R65" s="29">
        <f t="shared" ref="R65" si="140">Q65</f>
        <v>6.466988910325415E-2</v>
      </c>
      <c r="S65" s="29">
        <f t="shared" ref="S65:T65" si="141">R65</f>
        <v>6.466988910325415E-2</v>
      </c>
      <c r="T65" s="29">
        <f t="shared" si="141"/>
        <v>6.466988910325415E-2</v>
      </c>
    </row>
    <row r="66" spans="1:20" x14ac:dyDescent="0.2">
      <c r="A66" s="24"/>
      <c r="B66" s="1" t="s">
        <v>82</v>
      </c>
      <c r="C66" s="1"/>
      <c r="D66" t="s">
        <v>81</v>
      </c>
    </row>
    <row r="67" spans="1:20" ht="64" x14ac:dyDescent="0.2">
      <c r="A67" s="24"/>
      <c r="B67" t="s">
        <v>56</v>
      </c>
      <c r="C67" s="14">
        <f>25000*1.5</f>
        <v>37500</v>
      </c>
      <c r="D67" s="5" t="s">
        <v>86</v>
      </c>
      <c r="R67" s="2">
        <f>C67</f>
        <v>37500</v>
      </c>
      <c r="S67" s="2">
        <f>R67*(1+S68)</f>
        <v>37687.499999999993</v>
      </c>
      <c r="T67" s="2">
        <f>S67*(1+T68)</f>
        <v>75563.437499999985</v>
      </c>
    </row>
    <row r="68" spans="1:20" x14ac:dyDescent="0.2">
      <c r="A68" s="24"/>
      <c r="B68" s="10" t="s">
        <v>57</v>
      </c>
      <c r="R68">
        <v>5.0000000000000001E-3</v>
      </c>
      <c r="S68">
        <v>5.0000000000000001E-3</v>
      </c>
      <c r="T68">
        <v>1.0049999999999999</v>
      </c>
    </row>
    <row r="69" spans="1:20" x14ac:dyDescent="0.2">
      <c r="A69" s="24"/>
      <c r="B69" s="10" t="s">
        <v>6</v>
      </c>
      <c r="R69" s="24">
        <v>2E-3</v>
      </c>
      <c r="S69">
        <f>R69+0.003</f>
        <v>5.0000000000000001E-3</v>
      </c>
      <c r="T69">
        <f>S69+0.007</f>
        <v>1.2E-2</v>
      </c>
    </row>
    <row r="70" spans="1:20" x14ac:dyDescent="0.2">
      <c r="A70" s="24"/>
      <c r="B70" t="s">
        <v>58</v>
      </c>
      <c r="R70" s="4">
        <f>R64*R67*R69</f>
        <v>5998286.2574396972</v>
      </c>
      <c r="S70" s="4">
        <f>S64*S67*S69</f>
        <v>16045314.345851213</v>
      </c>
      <c r="T70" s="4">
        <f>T64*T67*T69</f>
        <v>82203218.173619151</v>
      </c>
    </row>
    <row r="71" spans="1:20" x14ac:dyDescent="0.2">
      <c r="B71" t="s">
        <v>68</v>
      </c>
      <c r="C71" s="41">
        <v>0.152</v>
      </c>
      <c r="J71" s="4"/>
      <c r="K71" s="4"/>
      <c r="L71" s="4"/>
      <c r="M71" s="4"/>
      <c r="N71" s="4"/>
      <c r="O71" s="4"/>
      <c r="P71" s="4"/>
      <c r="Q71" s="4"/>
      <c r="R71" s="4"/>
      <c r="S71" s="4"/>
      <c r="T71" s="4"/>
    </row>
    <row r="72" spans="1:20" ht="112" x14ac:dyDescent="0.2">
      <c r="D72" s="15"/>
      <c r="E72" s="23"/>
      <c r="F72" s="23"/>
      <c r="G72" s="23"/>
      <c r="H72" s="28"/>
      <c r="I72" s="28"/>
      <c r="R72" s="28" t="s">
        <v>33</v>
      </c>
      <c r="S72" s="28" t="s">
        <v>25</v>
      </c>
      <c r="T72" s="28" t="s">
        <v>93</v>
      </c>
    </row>
    <row r="73" spans="1:20" x14ac:dyDescent="0.2">
      <c r="D73" s="15"/>
      <c r="R73" s="25" t="s">
        <v>18</v>
      </c>
    </row>
    <row r="74" spans="1:20" ht="64" x14ac:dyDescent="0.2">
      <c r="A74" s="5"/>
      <c r="B74" s="12" t="s">
        <v>34</v>
      </c>
      <c r="C74" s="8"/>
      <c r="D74" s="5" t="s">
        <v>35</v>
      </c>
      <c r="E74" s="3">
        <v>2020</v>
      </c>
      <c r="F74" s="7">
        <v>2021</v>
      </c>
      <c r="G74" s="7">
        <v>2022</v>
      </c>
      <c r="H74" s="7">
        <v>2023</v>
      </c>
      <c r="I74" s="7">
        <v>2024</v>
      </c>
      <c r="J74" s="3">
        <v>2025</v>
      </c>
      <c r="K74" s="7">
        <v>2026</v>
      </c>
      <c r="L74" s="7">
        <v>2027</v>
      </c>
      <c r="M74" s="7">
        <v>2028</v>
      </c>
      <c r="N74" s="7">
        <v>2029</v>
      </c>
      <c r="O74" s="7">
        <v>2030</v>
      </c>
      <c r="P74" s="7">
        <v>2031</v>
      </c>
      <c r="Q74" s="7">
        <v>2032</v>
      </c>
      <c r="R74" s="7">
        <v>2033</v>
      </c>
      <c r="S74" s="7">
        <v>2034</v>
      </c>
      <c r="T74" s="7">
        <v>2035</v>
      </c>
    </row>
    <row r="75" spans="1:20" x14ac:dyDescent="0.2">
      <c r="B75" t="s">
        <v>36</v>
      </c>
      <c r="C75" s="14"/>
      <c r="D75" t="s">
        <v>37</v>
      </c>
      <c r="E75" s="37">
        <v>71000</v>
      </c>
      <c r="F75" s="2">
        <v>1078000</v>
      </c>
      <c r="G75" s="2">
        <v>4737000</v>
      </c>
      <c r="H75" s="2">
        <v>4013000</v>
      </c>
      <c r="I75" s="2">
        <v>1039000</v>
      </c>
      <c r="J75" s="2">
        <f>I75*(1+J80)</f>
        <v>1042116.9999999999</v>
      </c>
      <c r="K75" s="2">
        <f t="shared" ref="K75:T75" si="142">J75*(1+K80)</f>
        <v>1048369.7019999999</v>
      </c>
      <c r="L75" s="2">
        <f t="shared" si="142"/>
        <v>1057805.0293179997</v>
      </c>
      <c r="M75" s="2">
        <f t="shared" si="142"/>
        <v>1070498.6896698158</v>
      </c>
      <c r="N75" s="2">
        <f t="shared" si="142"/>
        <v>1086556.1700148629</v>
      </c>
      <c r="O75" s="2">
        <f t="shared" si="142"/>
        <v>1106114.1810751304</v>
      </c>
      <c r="P75" s="2">
        <f t="shared" si="142"/>
        <v>1129342.5788777079</v>
      </c>
      <c r="Q75" s="2">
        <f t="shared" si="142"/>
        <v>1156446.8007707729</v>
      </c>
      <c r="R75" s="2">
        <f t="shared" si="142"/>
        <v>1187670.8643915837</v>
      </c>
      <c r="S75" s="2">
        <f t="shared" si="142"/>
        <v>1223300.9903233312</v>
      </c>
      <c r="T75" s="2">
        <f t="shared" si="142"/>
        <v>1263669.9230040011</v>
      </c>
    </row>
    <row r="76" spans="1:20" x14ac:dyDescent="0.2">
      <c r="C76" s="14"/>
      <c r="E76" s="2"/>
      <c r="F76" s="2"/>
      <c r="G76" s="2"/>
      <c r="H76" s="2"/>
      <c r="I76" s="2"/>
      <c r="J76" s="2"/>
      <c r="K76" s="2"/>
      <c r="L76" s="2"/>
      <c r="M76" s="2"/>
      <c r="N76" s="2"/>
      <c r="O76" s="2"/>
      <c r="P76" s="2"/>
      <c r="Q76" s="2"/>
      <c r="R76" s="2"/>
      <c r="S76" s="2"/>
      <c r="T76" s="2"/>
    </row>
    <row r="77" spans="1:20" x14ac:dyDescent="0.2">
      <c r="C77" s="14"/>
      <c r="E77" s="2"/>
      <c r="F77" s="2"/>
      <c r="G77" s="2"/>
      <c r="H77" s="2"/>
      <c r="I77" s="2"/>
      <c r="J77" s="2"/>
      <c r="K77" s="2"/>
      <c r="L77" s="2"/>
      <c r="M77" s="2"/>
      <c r="N77" s="2"/>
      <c r="O77" s="2"/>
      <c r="P77" s="2"/>
      <c r="Q77" s="2"/>
      <c r="R77" s="2"/>
      <c r="S77" s="2"/>
      <c r="T77" s="2"/>
    </row>
    <row r="78" spans="1:20" x14ac:dyDescent="0.2">
      <c r="C78" s="9"/>
      <c r="E78" s="2"/>
      <c r="F78" s="2"/>
      <c r="G78" s="2"/>
      <c r="H78" s="2"/>
      <c r="I78" s="2"/>
      <c r="J78" s="2"/>
      <c r="K78" s="2"/>
      <c r="L78" s="2"/>
      <c r="M78" s="2"/>
      <c r="N78" s="2"/>
      <c r="O78" s="2"/>
      <c r="P78" s="2"/>
      <c r="Q78" s="2"/>
      <c r="R78" s="2"/>
      <c r="S78" s="2"/>
      <c r="T78" s="2"/>
    </row>
    <row r="79" spans="1:20" x14ac:dyDescent="0.2">
      <c r="B79" s="10" t="s">
        <v>40</v>
      </c>
      <c r="E79" s="27"/>
      <c r="F79" s="27">
        <f>(F75-E75)/E75</f>
        <v>14.183098591549296</v>
      </c>
      <c r="G79" s="27">
        <f t="shared" ref="G79:I79" si="143">(G75-F75)/F75</f>
        <v>3.3942486085343226</v>
      </c>
      <c r="H79" s="27">
        <f t="shared" si="143"/>
        <v>-0.15283934979945113</v>
      </c>
      <c r="I79" s="27">
        <f t="shared" si="143"/>
        <v>-0.74109145277846999</v>
      </c>
    </row>
    <row r="80" spans="1:20" x14ac:dyDescent="0.2">
      <c r="J80">
        <v>3.0000000000000001E-3</v>
      </c>
      <c r="K80">
        <f>J80+0.003</f>
        <v>6.0000000000000001E-3</v>
      </c>
      <c r="L80">
        <f t="shared" ref="L80:T80" si="144">K80+0.003</f>
        <v>9.0000000000000011E-3</v>
      </c>
      <c r="M80">
        <f t="shared" si="144"/>
        <v>1.2E-2</v>
      </c>
      <c r="N80">
        <f t="shared" si="144"/>
        <v>1.4999999999999999E-2</v>
      </c>
      <c r="O80">
        <f t="shared" si="144"/>
        <v>1.7999999999999999E-2</v>
      </c>
      <c r="P80">
        <f t="shared" si="144"/>
        <v>2.0999999999999998E-2</v>
      </c>
      <c r="Q80">
        <f t="shared" si="144"/>
        <v>2.3999999999999997E-2</v>
      </c>
      <c r="R80">
        <f t="shared" si="144"/>
        <v>2.6999999999999996E-2</v>
      </c>
      <c r="S80">
        <f t="shared" si="144"/>
        <v>2.9999999999999995E-2</v>
      </c>
      <c r="T80">
        <f t="shared" si="144"/>
        <v>3.2999999999999995E-2</v>
      </c>
    </row>
    <row r="81" spans="1:20" x14ac:dyDescent="0.2">
      <c r="B81" t="s">
        <v>41</v>
      </c>
      <c r="E81" s="4">
        <f>E75</f>
        <v>71000</v>
      </c>
      <c r="F81" s="4">
        <f t="shared" ref="F81:S81" si="145">F75</f>
        <v>1078000</v>
      </c>
      <c r="G81" s="4">
        <f t="shared" si="145"/>
        <v>4737000</v>
      </c>
      <c r="H81" s="4">
        <f t="shared" si="145"/>
        <v>4013000</v>
      </c>
      <c r="I81" s="4">
        <f t="shared" si="145"/>
        <v>1039000</v>
      </c>
      <c r="J81" s="4">
        <f t="shared" si="145"/>
        <v>1042116.9999999999</v>
      </c>
      <c r="K81" s="4">
        <f t="shared" si="145"/>
        <v>1048369.7019999999</v>
      </c>
      <c r="L81" s="4">
        <f t="shared" si="145"/>
        <v>1057805.0293179997</v>
      </c>
      <c r="M81" s="4">
        <f t="shared" si="145"/>
        <v>1070498.6896698158</v>
      </c>
      <c r="N81" s="4">
        <f t="shared" si="145"/>
        <v>1086556.1700148629</v>
      </c>
      <c r="O81" s="4">
        <f t="shared" si="145"/>
        <v>1106114.1810751304</v>
      </c>
      <c r="P81" s="4">
        <f t="shared" si="145"/>
        <v>1129342.5788777079</v>
      </c>
      <c r="Q81" s="4">
        <f t="shared" si="145"/>
        <v>1156446.8007707729</v>
      </c>
      <c r="R81" s="4">
        <f t="shared" si="145"/>
        <v>1187670.8643915837</v>
      </c>
      <c r="S81" s="4">
        <f t="shared" si="145"/>
        <v>1223300.9903233312</v>
      </c>
      <c r="T81" s="4">
        <f t="shared" ref="T81" si="146">T75</f>
        <v>1263669.9230040011</v>
      </c>
    </row>
    <row r="82" spans="1:20" ht="64" x14ac:dyDescent="0.2">
      <c r="D82" s="15"/>
      <c r="E82" s="23" t="s">
        <v>38</v>
      </c>
      <c r="F82" s="23" t="s">
        <v>38</v>
      </c>
      <c r="G82" s="23" t="s">
        <v>38</v>
      </c>
      <c r="H82" s="23" t="s">
        <v>38</v>
      </c>
      <c r="I82" s="23" t="s">
        <v>38</v>
      </c>
      <c r="J82" s="28" t="s">
        <v>39</v>
      </c>
    </row>
    <row r="83" spans="1:20" x14ac:dyDescent="0.2">
      <c r="M83" s="4"/>
      <c r="N83" s="4"/>
      <c r="O83" s="4"/>
      <c r="P83" s="4"/>
      <c r="Q83" s="4"/>
      <c r="R83" s="4"/>
      <c r="S83" s="4"/>
    </row>
    <row r="84" spans="1:20" ht="16" x14ac:dyDescent="0.2">
      <c r="A84" s="20"/>
      <c r="B84" s="18" t="s">
        <v>9</v>
      </c>
      <c r="C84" s="18"/>
      <c r="D84" s="18"/>
      <c r="E84" s="19">
        <f t="shared" ref="E84:S84" si="147">SUM(E9,E21,E34,E46,E58,E70,E81)</f>
        <v>71000</v>
      </c>
      <c r="F84" s="19">
        <f t="shared" si="147"/>
        <v>1078000</v>
      </c>
      <c r="G84" s="19">
        <f t="shared" si="147"/>
        <v>4737000</v>
      </c>
      <c r="H84" s="19">
        <f t="shared" si="147"/>
        <v>4013000</v>
      </c>
      <c r="I84" s="19">
        <f t="shared" si="147"/>
        <v>1039000</v>
      </c>
      <c r="J84" s="19">
        <f t="shared" si="147"/>
        <v>11074978.454046641</v>
      </c>
      <c r="K84" s="19">
        <f t="shared" si="147"/>
        <v>29056774.594546873</v>
      </c>
      <c r="L84" s="19">
        <f t="shared" si="147"/>
        <v>103798595.14650369</v>
      </c>
      <c r="M84" s="19">
        <f t="shared" si="147"/>
        <v>226460017.86833727</v>
      </c>
      <c r="N84" s="19">
        <f t="shared" si="147"/>
        <v>448226505.8440631</v>
      </c>
      <c r="O84" s="19">
        <f t="shared" si="147"/>
        <v>776799178.46744025</v>
      </c>
      <c r="P84" s="19">
        <f t="shared" si="147"/>
        <v>1191921293.5359399</v>
      </c>
      <c r="Q84" s="19">
        <f t="shared" si="147"/>
        <v>1720261728.5713172</v>
      </c>
      <c r="R84" s="19">
        <f t="shared" si="147"/>
        <v>2328132575.9223499</v>
      </c>
      <c r="S84" s="19">
        <f t="shared" si="147"/>
        <v>3025612481.1812315</v>
      </c>
      <c r="T84" s="19">
        <f t="shared" ref="T84" si="148">SUM(T9,T21,T34,T46,T58,T70,T81)</f>
        <v>3880842757.3003626</v>
      </c>
    </row>
    <row r="85" spans="1:20" ht="16" x14ac:dyDescent="0.2">
      <c r="A85" s="20"/>
      <c r="B85" s="43" t="s">
        <v>83</v>
      </c>
      <c r="C85" s="43">
        <v>3</v>
      </c>
      <c r="D85" s="43"/>
      <c r="E85" s="44">
        <f>E84*$C$85</f>
        <v>213000</v>
      </c>
      <c r="F85" s="44">
        <f t="shared" ref="F85:S85" si="149">F84*$C$85</f>
        <v>3234000</v>
      </c>
      <c r="G85" s="44">
        <f t="shared" si="149"/>
        <v>14211000</v>
      </c>
      <c r="H85" s="44">
        <f t="shared" si="149"/>
        <v>12039000</v>
      </c>
      <c r="I85" s="44">
        <f t="shared" si="149"/>
        <v>3117000</v>
      </c>
      <c r="J85" s="44">
        <f t="shared" si="149"/>
        <v>33224935.362139922</v>
      </c>
      <c r="K85" s="44">
        <f t="shared" si="149"/>
        <v>87170323.783640623</v>
      </c>
      <c r="L85" s="44">
        <f t="shared" si="149"/>
        <v>311395785.43951106</v>
      </c>
      <c r="M85" s="44">
        <f t="shared" si="149"/>
        <v>679380053.60501182</v>
      </c>
      <c r="N85" s="44">
        <f t="shared" si="149"/>
        <v>1344679517.5321894</v>
      </c>
      <c r="O85" s="44">
        <f t="shared" si="149"/>
        <v>2330397535.4023209</v>
      </c>
      <c r="P85" s="44">
        <f t="shared" si="149"/>
        <v>3575763880.6078196</v>
      </c>
      <c r="Q85" s="44">
        <f t="shared" si="149"/>
        <v>5160785185.7139511</v>
      </c>
      <c r="R85" s="44">
        <f t="shared" si="149"/>
        <v>6984397727.7670498</v>
      </c>
      <c r="S85" s="44">
        <f t="shared" si="149"/>
        <v>9076837443.5436935</v>
      </c>
      <c r="T85" s="44">
        <f t="shared" ref="T85" si="150">T84*$C$85</f>
        <v>11642528271.901089</v>
      </c>
    </row>
    <row r="86" spans="1:20" x14ac:dyDescent="0.2">
      <c r="B86" s="7" t="s">
        <v>23</v>
      </c>
      <c r="C86" s="45">
        <v>0.5</v>
      </c>
      <c r="E86" s="26">
        <f>$C$86*E85</f>
        <v>106500</v>
      </c>
      <c r="F86" s="26">
        <f t="shared" ref="F86:S86" si="151">$C$86*F85</f>
        <v>1617000</v>
      </c>
      <c r="G86" s="26">
        <f t="shared" si="151"/>
        <v>7105500</v>
      </c>
      <c r="H86" s="26">
        <f t="shared" si="151"/>
        <v>6019500</v>
      </c>
      <c r="I86" s="26">
        <f t="shared" si="151"/>
        <v>1558500</v>
      </c>
      <c r="J86" s="26">
        <f t="shared" si="151"/>
        <v>16612467.681069961</v>
      </c>
      <c r="K86" s="26">
        <f t="shared" si="151"/>
        <v>43585161.891820312</v>
      </c>
      <c r="L86" s="26">
        <f t="shared" si="151"/>
        <v>155697892.71975553</v>
      </c>
      <c r="M86" s="26">
        <f t="shared" si="151"/>
        <v>339690026.80250591</v>
      </c>
      <c r="N86" s="26">
        <f t="shared" si="151"/>
        <v>672339758.76609468</v>
      </c>
      <c r="O86" s="26">
        <f t="shared" si="151"/>
        <v>1165198767.7011604</v>
      </c>
      <c r="P86" s="26">
        <f t="shared" si="151"/>
        <v>1787881940.3039098</v>
      </c>
      <c r="Q86" s="26">
        <f t="shared" si="151"/>
        <v>2580392592.8569756</v>
      </c>
      <c r="R86" s="26">
        <f t="shared" si="151"/>
        <v>3492198863.8835249</v>
      </c>
      <c r="S86" s="26">
        <f t="shared" si="151"/>
        <v>4538418721.7718468</v>
      </c>
      <c r="T86" s="26">
        <f t="shared" ref="T86" si="152">$C$86*T85</f>
        <v>5821264135.9505444</v>
      </c>
    </row>
    <row r="88" spans="1:20" x14ac:dyDescent="0.2">
      <c r="E88" s="16"/>
    </row>
    <row r="89" spans="1:20" x14ac:dyDescent="0.2">
      <c r="E89" s="17"/>
    </row>
    <row r="90" spans="1:20" x14ac:dyDescent="0.2">
      <c r="E90" s="15"/>
    </row>
    <row r="91" spans="1:20" x14ac:dyDescent="0.2">
      <c r="E91" s="15"/>
    </row>
    <row r="95" spans="1:20" x14ac:dyDescent="0.2">
      <c r="E95" s="22"/>
    </row>
    <row r="96" spans="1:20" x14ac:dyDescent="0.2">
      <c r="E96" s="21"/>
    </row>
    <row r="97" spans="3:5" x14ac:dyDescent="0.2">
      <c r="E97" s="21"/>
    </row>
    <row r="98" spans="3:5" x14ac:dyDescent="0.2">
      <c r="E98" s="21"/>
    </row>
    <row r="100" spans="3:5" x14ac:dyDescent="0.2">
      <c r="C100" s="48" t="s">
        <v>19</v>
      </c>
      <c r="D100" s="48">
        <v>0.15</v>
      </c>
    </row>
    <row r="101" spans="3:5" x14ac:dyDescent="0.2">
      <c r="C101" s="48" t="s">
        <v>24</v>
      </c>
      <c r="D101" s="51">
        <f>NPV(D100,K86:T86)</f>
        <v>6956355156.3521147</v>
      </c>
    </row>
    <row r="102" spans="3:5" x14ac:dyDescent="0.2">
      <c r="C102" s="48" t="s">
        <v>20</v>
      </c>
      <c r="D102" s="52">
        <v>94180000</v>
      </c>
      <c r="E102" t="s">
        <v>32</v>
      </c>
    </row>
    <row r="103" spans="3:5" x14ac:dyDescent="0.2">
      <c r="C103" s="46" t="s">
        <v>21</v>
      </c>
      <c r="D103" s="47">
        <f>D101/D102</f>
        <v>73.862339736166007</v>
      </c>
    </row>
    <row r="104" spans="3:5" x14ac:dyDescent="0.2">
      <c r="C104" s="46" t="s">
        <v>22</v>
      </c>
      <c r="D104" s="47">
        <v>33.909999999999997</v>
      </c>
    </row>
    <row r="107" spans="3:5" x14ac:dyDescent="0.2">
      <c r="C107" s="46" t="s">
        <v>26</v>
      </c>
      <c r="D107" s="49">
        <f>C3*C6+C15*C18+C28*C31+C40*C43+C52*C55+C64*C67</f>
        <v>16728203720</v>
      </c>
    </row>
    <row r="108" spans="3:5" x14ac:dyDescent="0.2">
      <c r="C108" s="48" t="s">
        <v>45</v>
      </c>
      <c r="D108" s="50">
        <f>C3+C15+C28+C40+C52+C64</f>
        <v>116857.4592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73C75-49BB-4A45-BA1D-4154596D91E7}">
  <dimension ref="A1:P19"/>
  <sheetViews>
    <sheetView topLeftCell="L1" zoomScale="125" zoomScaleNormal="100" workbookViewId="0">
      <selection activeCell="N15" sqref="N15"/>
    </sheetView>
  </sheetViews>
  <sheetFormatPr baseColWidth="10" defaultColWidth="8.83203125" defaultRowHeight="15" x14ac:dyDescent="0.2"/>
  <cols>
    <col min="1" max="1" width="28.5" bestFit="1" customWidth="1"/>
    <col min="2" max="2" width="34.1640625" style="5" bestFit="1" customWidth="1"/>
    <col min="3" max="3" width="22.6640625" style="5" customWidth="1"/>
    <col min="4" max="4" width="16.1640625" customWidth="1"/>
    <col min="5" max="5" width="12.1640625" bestFit="1" customWidth="1"/>
    <col min="6" max="6" width="15.6640625" bestFit="1" customWidth="1"/>
    <col min="7" max="7" width="28" bestFit="1" customWidth="1"/>
    <col min="8" max="8" width="18" customWidth="1"/>
    <col min="9" max="9" width="14.5" customWidth="1"/>
    <col min="10" max="10" width="14.83203125" customWidth="1"/>
    <col min="11" max="11" width="15" customWidth="1"/>
    <col min="12" max="12" width="15.6640625" customWidth="1"/>
    <col min="13" max="13" width="27.1640625" customWidth="1"/>
  </cols>
  <sheetData>
    <row r="1" spans="1:16" x14ac:dyDescent="0.2">
      <c r="A1" s="24" t="s">
        <v>122</v>
      </c>
    </row>
    <row r="2" spans="1:16" ht="48" x14ac:dyDescent="0.2">
      <c r="A2" s="7" t="s">
        <v>97</v>
      </c>
      <c r="B2" s="53" t="s">
        <v>98</v>
      </c>
      <c r="C2" s="53" t="s">
        <v>99</v>
      </c>
      <c r="D2" s="53" t="s">
        <v>133</v>
      </c>
      <c r="E2" s="53" t="s">
        <v>137</v>
      </c>
      <c r="F2" s="54" t="s">
        <v>100</v>
      </c>
      <c r="G2" s="54" t="s">
        <v>101</v>
      </c>
      <c r="H2" s="53" t="s">
        <v>128</v>
      </c>
      <c r="I2" s="54" t="s">
        <v>102</v>
      </c>
      <c r="J2" s="53" t="s">
        <v>103</v>
      </c>
      <c r="K2" s="53" t="s">
        <v>104</v>
      </c>
      <c r="L2" s="54" t="s">
        <v>105</v>
      </c>
      <c r="M2" s="53" t="s">
        <v>126</v>
      </c>
    </row>
    <row r="3" spans="1:16" ht="16" x14ac:dyDescent="0.2">
      <c r="A3" s="60" t="s">
        <v>27</v>
      </c>
      <c r="B3" s="61" t="s">
        <v>106</v>
      </c>
      <c r="C3" s="61" t="s">
        <v>107</v>
      </c>
      <c r="D3" s="60">
        <f>'Revenue Model for NPV per share'!C3</f>
        <v>27000</v>
      </c>
      <c r="E3" s="62">
        <f>'Revenue Model for NPV per share'!C6</f>
        <v>109709.34</v>
      </c>
      <c r="F3" s="62">
        <f>D3*E3</f>
        <v>2962152180</v>
      </c>
      <c r="G3" s="60" t="s">
        <v>108</v>
      </c>
      <c r="H3" s="63">
        <v>0.86299999999999999</v>
      </c>
      <c r="I3" s="64">
        <f>SUM(F3:F8)</f>
        <v>16728203720</v>
      </c>
      <c r="J3" s="65">
        <f>H3*(F3/I3)</f>
        <v>0.15281600906639364</v>
      </c>
      <c r="K3" s="65">
        <f>SUM(J3:J8)</f>
        <v>0.557253239237811</v>
      </c>
      <c r="L3" s="62">
        <v>3190000000</v>
      </c>
      <c r="M3" s="68">
        <f>(L3)/(K3*I3)</f>
        <v>0.34220690830731232</v>
      </c>
    </row>
    <row r="4" spans="1:16" ht="64" x14ac:dyDescent="0.2">
      <c r="A4" t="s">
        <v>27</v>
      </c>
      <c r="B4" s="5" t="s">
        <v>106</v>
      </c>
      <c r="C4" s="5" t="s">
        <v>109</v>
      </c>
      <c r="D4" s="56">
        <f>'Revenue Model for NPV per share'!C15</f>
        <v>33000</v>
      </c>
      <c r="E4" s="56">
        <f>'Revenue Model for NPV per share'!C18</f>
        <v>109709.34</v>
      </c>
      <c r="F4" s="56">
        <f t="shared" ref="F4:F8" si="0">D4*E4</f>
        <v>3620408220</v>
      </c>
      <c r="G4" t="s">
        <v>110</v>
      </c>
      <c r="H4" s="58">
        <v>0.57099999999999995</v>
      </c>
      <c r="I4" s="38">
        <f>I3</f>
        <v>16728203720</v>
      </c>
      <c r="J4" s="55">
        <f>H4*(F4/I4)</f>
        <v>0.12357890471816897</v>
      </c>
      <c r="K4" s="55">
        <f>K3</f>
        <v>0.557253239237811</v>
      </c>
      <c r="L4" s="38">
        <f>L3</f>
        <v>3190000000</v>
      </c>
      <c r="M4" s="29">
        <f>M3</f>
        <v>0.34220690830731232</v>
      </c>
    </row>
    <row r="5" spans="1:16" ht="32" x14ac:dyDescent="0.2">
      <c r="A5" t="s">
        <v>111</v>
      </c>
      <c r="B5" s="5" t="s">
        <v>112</v>
      </c>
      <c r="C5" s="5" t="s">
        <v>113</v>
      </c>
      <c r="D5" s="56">
        <f>'Revenue Model for NPV per share'!C28</f>
        <v>16375</v>
      </c>
      <c r="E5" s="56">
        <f>'Revenue Model for NPV per share'!C31</f>
        <v>460000</v>
      </c>
      <c r="F5" s="56">
        <f t="shared" si="0"/>
        <v>7532500000</v>
      </c>
      <c r="G5" t="s">
        <v>110</v>
      </c>
      <c r="H5" s="58">
        <v>0.57099999999999995</v>
      </c>
      <c r="I5" s="38">
        <f t="shared" ref="I5:I8" si="1">I4</f>
        <v>16728203720</v>
      </c>
      <c r="J5" s="55">
        <f>H5*(F5/I5)</f>
        <v>0.25711412725430388</v>
      </c>
      <c r="K5" s="55">
        <f t="shared" ref="K5:M8" si="2">K4</f>
        <v>0.557253239237811</v>
      </c>
      <c r="L5" s="38">
        <f t="shared" si="2"/>
        <v>3190000000</v>
      </c>
      <c r="M5" s="29">
        <f>M4</f>
        <v>0.34220690830731232</v>
      </c>
    </row>
    <row r="6" spans="1:16" ht="48" x14ac:dyDescent="0.2">
      <c r="A6" t="s">
        <v>111</v>
      </c>
      <c r="B6" s="5" t="s">
        <v>112</v>
      </c>
      <c r="C6" s="5" t="s">
        <v>114</v>
      </c>
      <c r="D6">
        <f>'Revenue Model for NPV per share'!C40</f>
        <v>4550</v>
      </c>
      <c r="E6" s="56">
        <f>'Revenue Model for NPV per share'!C43</f>
        <v>230000</v>
      </c>
      <c r="F6" s="56">
        <f t="shared" si="0"/>
        <v>1046500000</v>
      </c>
      <c r="G6" t="s">
        <v>115</v>
      </c>
      <c r="H6" s="58">
        <v>0.152</v>
      </c>
      <c r="I6" s="38">
        <f t="shared" si="1"/>
        <v>16728203720</v>
      </c>
      <c r="J6" s="55">
        <f t="shared" ref="J6:J8" si="3">H6*(F6/I6)</f>
        <v>9.5089707575608112E-3</v>
      </c>
      <c r="K6" s="55">
        <f t="shared" si="2"/>
        <v>0.557253239237811</v>
      </c>
      <c r="L6" s="38">
        <f t="shared" si="2"/>
        <v>3190000000</v>
      </c>
      <c r="M6" s="29">
        <f t="shared" si="2"/>
        <v>0.34220690830731232</v>
      </c>
    </row>
    <row r="7" spans="1:16" ht="32" x14ac:dyDescent="0.2">
      <c r="A7" t="s">
        <v>111</v>
      </c>
      <c r="B7" s="5" t="s">
        <v>112</v>
      </c>
      <c r="C7" s="5" t="s">
        <v>116</v>
      </c>
      <c r="D7" s="59">
        <f>'Revenue Model for NPV per share'!C52</f>
        <v>518.76</v>
      </c>
      <c r="E7" s="56">
        <f>'Revenue Model for NPV per share'!C55</f>
        <v>460000</v>
      </c>
      <c r="F7" s="56">
        <f t="shared" si="0"/>
        <v>238629600</v>
      </c>
      <c r="G7" t="s">
        <v>115</v>
      </c>
      <c r="H7" s="58">
        <v>0.152</v>
      </c>
      <c r="I7" s="38">
        <f t="shared" si="1"/>
        <v>16728203720</v>
      </c>
      <c r="J7" s="55">
        <f t="shared" si="3"/>
        <v>2.1682961187658228E-3</v>
      </c>
      <c r="K7" s="55">
        <f t="shared" si="2"/>
        <v>0.557253239237811</v>
      </c>
      <c r="L7" s="38">
        <f t="shared" si="2"/>
        <v>3190000000</v>
      </c>
      <c r="M7" s="29">
        <f t="shared" si="2"/>
        <v>0.34220690830731232</v>
      </c>
    </row>
    <row r="8" spans="1:16" ht="32" x14ac:dyDescent="0.2">
      <c r="A8" t="s">
        <v>117</v>
      </c>
      <c r="B8" s="5" t="s">
        <v>118</v>
      </c>
      <c r="C8" s="5" t="s">
        <v>119</v>
      </c>
      <c r="D8" s="56">
        <f>'Revenue Model for NPV per share'!C64</f>
        <v>35413.699200000003</v>
      </c>
      <c r="E8" s="56">
        <f>'Revenue Model for NPV per share'!C67</f>
        <v>37500</v>
      </c>
      <c r="F8" s="56">
        <f t="shared" si="0"/>
        <v>1328013720</v>
      </c>
      <c r="G8" t="s">
        <v>120</v>
      </c>
      <c r="H8" s="58">
        <v>0.152</v>
      </c>
      <c r="I8" s="38">
        <f t="shared" si="1"/>
        <v>16728203720</v>
      </c>
      <c r="J8" s="55">
        <f t="shared" si="3"/>
        <v>1.2066931322617823E-2</v>
      </c>
      <c r="K8" s="55">
        <f t="shared" si="2"/>
        <v>0.557253239237811</v>
      </c>
      <c r="L8" s="38">
        <f t="shared" si="2"/>
        <v>3190000000</v>
      </c>
      <c r="M8" s="29">
        <f t="shared" si="2"/>
        <v>0.34220690830731232</v>
      </c>
    </row>
    <row r="9" spans="1:16" x14ac:dyDescent="0.2">
      <c r="B9"/>
      <c r="C9"/>
      <c r="D9" s="56"/>
      <c r="F9" s="37"/>
      <c r="H9" s="57"/>
      <c r="I9" s="38"/>
      <c r="J9" s="55"/>
      <c r="K9" s="55"/>
      <c r="L9" s="38"/>
    </row>
    <row r="10" spans="1:16" x14ac:dyDescent="0.2">
      <c r="F10" s="37"/>
      <c r="H10" s="57"/>
      <c r="I10" s="38"/>
      <c r="J10" s="55"/>
      <c r="K10" s="55"/>
      <c r="L10" s="38"/>
    </row>
    <row r="11" spans="1:16" x14ac:dyDescent="0.2">
      <c r="F11" s="37"/>
      <c r="I11" s="38"/>
      <c r="J11" s="55"/>
      <c r="K11" s="55"/>
      <c r="L11" s="38"/>
    </row>
    <row r="13" spans="1:16" x14ac:dyDescent="0.2">
      <c r="G13" s="7" t="s">
        <v>127</v>
      </c>
      <c r="N13" t="s">
        <v>142</v>
      </c>
    </row>
    <row r="14" spans="1:16" x14ac:dyDescent="0.2">
      <c r="N14" t="s">
        <v>124</v>
      </c>
    </row>
    <row r="15" spans="1:16" x14ac:dyDescent="0.2">
      <c r="N15" t="s">
        <v>123</v>
      </c>
    </row>
    <row r="16" spans="1:16" ht="158" customHeight="1" x14ac:dyDescent="0.2">
      <c r="M16" s="70" t="s">
        <v>125</v>
      </c>
      <c r="N16" s="70"/>
      <c r="O16" s="70"/>
      <c r="P16" s="70"/>
    </row>
    <row r="19" spans="3:3" ht="16" x14ac:dyDescent="0.2">
      <c r="C19" s="5" t="s">
        <v>121</v>
      </c>
    </row>
  </sheetData>
  <mergeCells count="1">
    <mergeCell ref="M16:P1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1AE4F-8AE7-DB46-BEE8-07B6595A4154}">
  <dimension ref="A1:Q22"/>
  <sheetViews>
    <sheetView topLeftCell="K1" zoomScale="125" zoomScaleNormal="100" workbookViewId="0">
      <selection activeCell="N5" sqref="N5"/>
    </sheetView>
  </sheetViews>
  <sheetFormatPr baseColWidth="10" defaultColWidth="8.83203125" defaultRowHeight="15" x14ac:dyDescent="0.2"/>
  <cols>
    <col min="1" max="1" width="25" bestFit="1" customWidth="1"/>
    <col min="2" max="2" width="13.33203125" style="5" bestFit="1" customWidth="1"/>
    <col min="3" max="3" width="9.83203125" style="5" bestFit="1" customWidth="1"/>
    <col min="4" max="4" width="15.1640625" bestFit="1" customWidth="1"/>
    <col min="5" max="5" width="25.1640625" customWidth="1"/>
    <col min="6" max="6" width="13.6640625" bestFit="1" customWidth="1"/>
    <col min="7" max="8" width="28" bestFit="1" customWidth="1"/>
    <col min="9" max="10" width="14.5" customWidth="1"/>
    <col min="11" max="11" width="14.83203125" customWidth="1"/>
    <col min="12" max="12" width="19.33203125" bestFit="1" customWidth="1"/>
    <col min="13" max="13" width="15.6640625" customWidth="1"/>
    <col min="14" max="14" width="27.1640625" customWidth="1"/>
    <col min="15" max="15" width="37.83203125" customWidth="1"/>
  </cols>
  <sheetData>
    <row r="1" spans="1:17" x14ac:dyDescent="0.2">
      <c r="A1" s="7" t="s">
        <v>131</v>
      </c>
    </row>
    <row r="2" spans="1:17" x14ac:dyDescent="0.2">
      <c r="A2" t="s">
        <v>129</v>
      </c>
      <c r="B2"/>
      <c r="C2"/>
    </row>
    <row r="3" spans="1:17" x14ac:dyDescent="0.2">
      <c r="B3"/>
      <c r="C3"/>
    </row>
    <row r="4" spans="1:17" x14ac:dyDescent="0.2">
      <c r="A4" s="71" t="s">
        <v>136</v>
      </c>
      <c r="B4" s="71"/>
      <c r="C4" s="71"/>
      <c r="D4" s="71"/>
    </row>
    <row r="5" spans="1:17" ht="48" x14ac:dyDescent="0.2">
      <c r="A5" s="7" t="s">
        <v>97</v>
      </c>
      <c r="B5" s="53" t="s">
        <v>98</v>
      </c>
      <c r="C5" s="53" t="s">
        <v>99</v>
      </c>
      <c r="D5" s="53" t="s">
        <v>133</v>
      </c>
      <c r="E5" s="53" t="s">
        <v>134</v>
      </c>
      <c r="F5" s="53" t="s">
        <v>137</v>
      </c>
      <c r="G5" s="54" t="s">
        <v>100</v>
      </c>
      <c r="H5" s="54" t="s">
        <v>101</v>
      </c>
      <c r="I5" s="53" t="s">
        <v>128</v>
      </c>
      <c r="J5" s="53" t="s">
        <v>138</v>
      </c>
      <c r="K5" s="53" t="s">
        <v>130</v>
      </c>
      <c r="L5" s="53" t="s">
        <v>139</v>
      </c>
      <c r="M5" s="54" t="s">
        <v>105</v>
      </c>
      <c r="N5" s="53" t="s">
        <v>126</v>
      </c>
    </row>
    <row r="6" spans="1:17" ht="16" x14ac:dyDescent="0.2">
      <c r="A6" s="60" t="s">
        <v>27</v>
      </c>
      <c r="B6" s="61" t="s">
        <v>106</v>
      </c>
      <c r="C6" s="61" t="s">
        <v>107</v>
      </c>
      <c r="D6" s="62">
        <f>'Revenue Model for NPV per share'!C3</f>
        <v>27000</v>
      </c>
      <c r="E6" s="63">
        <f>'Revenue Model for NPV per share'!S8</f>
        <v>0.109</v>
      </c>
      <c r="F6" s="62">
        <f>'Revenue Model for NPV per share'!C6</f>
        <v>109709.34</v>
      </c>
      <c r="G6" s="67">
        <f>D6*F6</f>
        <v>2962152180</v>
      </c>
      <c r="H6" s="60" t="s">
        <v>108</v>
      </c>
      <c r="I6" s="63">
        <v>0.86299999999999999</v>
      </c>
      <c r="J6" s="67">
        <f>I6*(G6)</f>
        <v>2556337331.3400002</v>
      </c>
      <c r="K6" s="64">
        <v>3</v>
      </c>
      <c r="L6" s="64">
        <f>J6*K6</f>
        <v>7669011994.0200005</v>
      </c>
      <c r="M6" s="62">
        <v>3190000000</v>
      </c>
      <c r="N6" s="69">
        <f>M6/L6</f>
        <v>0.41595970934553744</v>
      </c>
      <c r="O6" s="39"/>
    </row>
    <row r="7" spans="1:17" ht="48" x14ac:dyDescent="0.2">
      <c r="D7" s="56"/>
      <c r="E7" s="66" t="s">
        <v>135</v>
      </c>
      <c r="F7" s="56"/>
      <c r="H7" s="58"/>
      <c r="I7" s="38"/>
      <c r="J7" s="38"/>
      <c r="K7" s="55"/>
      <c r="L7" s="55"/>
      <c r="M7" s="38"/>
      <c r="N7" s="29"/>
    </row>
    <row r="8" spans="1:17" x14ac:dyDescent="0.2">
      <c r="D8" s="56"/>
      <c r="E8" s="56"/>
      <c r="F8" s="56"/>
      <c r="H8" s="58"/>
      <c r="I8" s="38"/>
      <c r="J8" s="38"/>
      <c r="K8" s="55"/>
      <c r="L8" s="55"/>
      <c r="M8" s="38"/>
      <c r="N8" t="s">
        <v>140</v>
      </c>
    </row>
    <row r="9" spans="1:17" x14ac:dyDescent="0.2">
      <c r="E9" s="56"/>
      <c r="F9" s="56"/>
      <c r="H9" s="58"/>
      <c r="I9" s="38"/>
      <c r="J9" s="38"/>
      <c r="K9" s="55"/>
      <c r="L9" s="55"/>
      <c r="M9" s="38"/>
      <c r="O9" t="s">
        <v>124</v>
      </c>
    </row>
    <row r="10" spans="1:17" ht="64" x14ac:dyDescent="0.2">
      <c r="D10" s="59"/>
      <c r="E10" s="56"/>
      <c r="F10" s="56"/>
      <c r="H10" s="58"/>
      <c r="I10" s="38"/>
      <c r="J10" s="38"/>
      <c r="K10" s="55"/>
      <c r="L10" s="55"/>
      <c r="M10" s="38"/>
      <c r="O10" s="5" t="s">
        <v>141</v>
      </c>
    </row>
    <row r="11" spans="1:17" x14ac:dyDescent="0.2">
      <c r="D11" s="56"/>
      <c r="E11" s="56"/>
      <c r="F11" s="56"/>
      <c r="H11" s="58"/>
      <c r="I11" s="38"/>
      <c r="J11" s="38"/>
      <c r="K11" s="55"/>
      <c r="L11" s="55"/>
      <c r="M11" s="38"/>
      <c r="N11" s="70" t="s">
        <v>125</v>
      </c>
      <c r="O11" s="70"/>
      <c r="P11" s="70"/>
      <c r="Q11" s="70"/>
    </row>
    <row r="12" spans="1:17" x14ac:dyDescent="0.2">
      <c r="B12"/>
      <c r="C12"/>
      <c r="D12" s="56"/>
      <c r="F12" s="37"/>
      <c r="H12" s="57"/>
      <c r="I12" s="38"/>
      <c r="J12" s="38"/>
      <c r="K12" s="55"/>
      <c r="L12" s="55"/>
      <c r="M12" s="38"/>
    </row>
    <row r="13" spans="1:17" x14ac:dyDescent="0.2">
      <c r="F13" s="37"/>
      <c r="H13" s="57"/>
      <c r="I13" s="38"/>
      <c r="J13" s="38"/>
      <c r="K13" s="55"/>
      <c r="L13" s="55"/>
      <c r="M13" s="38"/>
    </row>
    <row r="14" spans="1:17" x14ac:dyDescent="0.2">
      <c r="F14" s="37"/>
      <c r="I14" s="38"/>
      <c r="J14" s="38"/>
      <c r="K14" s="55"/>
      <c r="L14" s="55"/>
      <c r="M14" s="38"/>
    </row>
    <row r="16" spans="1:17" x14ac:dyDescent="0.2">
      <c r="G16" s="7" t="s">
        <v>127</v>
      </c>
    </row>
    <row r="19" spans="3:17" ht="158" customHeight="1" x14ac:dyDescent="0.2">
      <c r="N19" s="70"/>
      <c r="O19" s="70"/>
      <c r="P19" s="70"/>
      <c r="Q19" s="70"/>
    </row>
    <row r="22" spans="3:17" ht="16" x14ac:dyDescent="0.2">
      <c r="C22" s="5" t="s">
        <v>121</v>
      </c>
    </row>
  </sheetData>
  <mergeCells count="3">
    <mergeCell ref="N19:Q19"/>
    <mergeCell ref="A4:D4"/>
    <mergeCell ref="N11:Q1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Revenue Model for NPV per share</vt:lpstr>
      <vt:lpstr>Valuation via Forecasting Ratio</vt:lpstr>
      <vt:lpstr>RA-guided Valuation - Lead Only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Taylor Harris</dc:creator>
  <cp:lastModifiedBy>Malofsky, Nicole A</cp:lastModifiedBy>
  <dcterms:created xsi:type="dcterms:W3CDTF">2022-01-18T18:40:02Z</dcterms:created>
  <dcterms:modified xsi:type="dcterms:W3CDTF">2025-09-24T19:17:09Z</dcterms:modified>
</cp:coreProperties>
</file>