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zL\Documents\GitHub\repoMan\Docs\"/>
    </mc:Choice>
  </mc:AlternateContent>
  <bookViews>
    <workbookView xWindow="0" yWindow="0" windowWidth="20490" windowHeight="7515"/>
  </bookViews>
  <sheets>
    <sheet name="Monthly Budget" sheetId="1" r:id="rId1"/>
  </sheets>
  <definedNames>
    <definedName name="_xlnm._FilterDatabase" localSheetId="0" hidden="1">'Monthly Budget'!$J$17:$J$36</definedName>
    <definedName name="_xlnm.Criteria" localSheetId="0">'Monthly Budget'!#REF!</definedName>
    <definedName name="_xlnm.Extract" localSheetId="0">'Monthly Budget'!#REF!</definedName>
  </definedNames>
  <calcPr calcId="152511"/>
</workbook>
</file>

<file path=xl/calcChain.xml><?xml version="1.0" encoding="utf-8"?>
<calcChain xmlns="http://schemas.openxmlformats.org/spreadsheetml/2006/main"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I37" i="1"/>
  <c r="J37" i="1"/>
  <c r="L37" i="1" l="1"/>
  <c r="K11" i="1"/>
  <c r="K12" i="1"/>
  <c r="K13" i="1"/>
  <c r="K6" i="1"/>
  <c r="K7" i="1"/>
  <c r="J14" i="1" l="1"/>
  <c r="I14" i="1"/>
  <c r="L11" i="1"/>
  <c r="L12" i="1"/>
  <c r="L13" i="1"/>
  <c r="L14" i="1" l="1"/>
  <c r="C37" i="1" l="1"/>
  <c r="E37" i="1" s="1"/>
  <c r="C35" i="1"/>
  <c r="E35" i="1" s="1"/>
  <c r="C33" i="1"/>
  <c r="E33" i="1" s="1"/>
  <c r="C36" i="1"/>
  <c r="E36" i="1" s="1"/>
  <c r="C34" i="1"/>
  <c r="E34" i="1" s="1"/>
  <c r="E38" i="1" l="1"/>
  <c r="C38" i="1"/>
  <c r="B34" i="1"/>
  <c r="B33" i="1"/>
  <c r="B36" i="1"/>
  <c r="B35" i="1"/>
  <c r="B37" i="1"/>
  <c r="I8" i="1"/>
  <c r="C6" i="1" s="1"/>
  <c r="J8" i="1"/>
  <c r="D6" i="1" s="1"/>
  <c r="L6" i="1"/>
  <c r="L7" i="1"/>
  <c r="D7" i="1"/>
  <c r="C7" i="1"/>
  <c r="E7" i="1" l="1"/>
  <c r="E6" i="1"/>
  <c r="C8" i="1"/>
  <c r="D8" i="1"/>
  <c r="L8" i="1"/>
  <c r="E8" i="1" l="1"/>
  <c r="D36" i="1"/>
  <c r="D34" i="1"/>
  <c r="D37" i="1"/>
  <c r="D35" i="1"/>
  <c r="D33" i="1"/>
  <c r="D38" i="1" l="1"/>
</calcChain>
</file>

<file path=xl/sharedStrings.xml><?xml version="1.0" encoding="utf-8"?>
<sst xmlns="http://schemas.openxmlformats.org/spreadsheetml/2006/main" count="59" uniqueCount="47">
  <si>
    <t>Other</t>
  </si>
  <si>
    <t>Advertising</t>
  </si>
  <si>
    <t>Depreciation</t>
  </si>
  <si>
    <t>Insurance</t>
  </si>
  <si>
    <t>Interest</t>
  </si>
  <si>
    <t>Office supplies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</si>
  <si>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</si>
  <si>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</si>
  <si>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</si>
  <si>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</si>
  <si>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</si>
  <si>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</si>
  <si>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</si>
  <si>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</si>
  <si>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</si>
  <si>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</si>
  <si>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</si>
  <si>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</si>
  <si>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Total Personnel</t>
  </si>
  <si>
    <t>Top 5 Amount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</si>
  <si>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</si>
  <si>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</si>
  <si>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</si>
  <si>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</si>
  <si>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</si>
  <si>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</si>
  <si>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</si>
  <si>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</si>
  <si>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</si>
  <si>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</si>
  <si>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</si>
  <si>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</si>
  <si>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</si>
  <si>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Total Operating</t>
  </si>
  <si>
    <t>15% REDUCTION</t>
  </si>
  <si>
    <t>Balance (Income minus Expenses)</t>
  </si>
  <si>
    <t>Employee benefits</t>
  </si>
  <si>
    <t>Bad debts</t>
  </si>
  <si>
    <t>Dues and subscriptions</t>
  </si>
  <si>
    <t>Legal and auditing</t>
  </si>
  <si>
    <t>Maintenance and repairs</t>
  </si>
  <si>
    <t>Net sales</t>
  </si>
  <si>
    <t>Asset sales (gain/loss)</t>
  </si>
  <si>
    <t xml:space="preserve"> </t>
  </si>
  <si>
    <t>Raven Games</t>
  </si>
  <si>
    <t>Software</t>
  </si>
  <si>
    <t>IOS and Android Dev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</si>
</sst>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%"/>
  </numFmts>
  <fonts count="1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color theme="0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3" fontId="0" fillId="0" borderId="0" xfId="2" applyFont="1" applyFill="1" applyBorder="1"/>
    <xf numFmtId="0" fontId="0" fillId="0" borderId="0" xfId="0" applyFont="1" applyFill="1" applyBorder="1" applyAlignment="1">
      <alignment horizontal="left" indent="1"/>
    </xf>
    <xf numFmtId="40" fontId="0" fillId="0" borderId="0" xfId="2" applyNumberFormat="1" applyFont="1" applyFill="1" applyBorder="1"/>
    <xf numFmtId="40" fontId="0" fillId="0" borderId="0" xfId="0" applyNumberFormat="1" applyFont="1" applyFill="1" applyBorder="1"/>
    <xf numFmtId="0" fontId="8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left" indent="1"/>
    </xf>
    <xf numFmtId="0" fontId="5" fillId="0" borderId="0" xfId="0" applyFont="1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2" applyFont="1" applyFill="1"/>
    <xf numFmtId="43" fontId="1" fillId="2" borderId="0" xfId="0" applyNumberFormat="1" applyFont="1" applyFill="1"/>
    <xf numFmtId="0" fontId="0" fillId="2" borderId="0" xfId="0" applyFill="1" applyAlignment="1"/>
    <xf numFmtId="9" fontId="0" fillId="2" borderId="0" xfId="1" applyFont="1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43" fontId="0" fillId="0" borderId="0" xfId="2" applyNumberFormat="1" applyFont="1" applyFill="1" applyBorder="1"/>
    <xf numFmtId="43" fontId="0" fillId="0" borderId="0" xfId="0" applyNumberFormat="1" applyFont="1" applyFill="1" applyBorder="1"/>
    <xf numFmtId="0" fontId="0" fillId="0" borderId="0" xfId="0" applyFill="1"/>
    <xf numFmtId="0" fontId="11" fillId="0" borderId="0" xfId="3" applyFill="1" applyAlignment="1">
      <alignment horizontal="left" indent="1"/>
    </xf>
    <xf numFmtId="165" fontId="0" fillId="0" borderId="0" xfId="1" applyNumberFormat="1" applyFont="1" applyFill="1" applyBorder="1"/>
    <xf numFmtId="165" fontId="0" fillId="0" borderId="0" xfId="0" applyNumberFormat="1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13" fillId="0" borderId="0" xfId="0" applyFont="1"/>
    <xf numFmtId="0" fontId="0" fillId="3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164" fontId="12" fillId="0" borderId="0" xfId="0" applyNumberFormat="1" applyFont="1" applyFill="1" applyAlignment="1">
      <alignment horizontal="right"/>
    </xf>
  </cellXfs>
  <cellStyles count="4">
    <cellStyle name="Comma" xfId="2" builtinId="3"/>
    <cellStyle name="Normal" xfId="0" builtinId="0" customBuiltin="1"/>
    <cellStyle name="Percent" xfId="1" builtinId="5"/>
    <cellStyle name="Title" xfId="3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5" formatCode="0.0%"/>
      <fill>
        <patternFill patternType="solid">
          <fgColor indexed="64"/>
          <bgColor theme="0" tint="-4.9989318521683403E-2"/>
        </patternFill>
      </fill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/>
                </a:solidFill>
              </a:defRPr>
            </a:pPr>
            <a:r>
              <a:rPr lang="en-US" sz="1500" b="0">
                <a:solidFill>
                  <a:schemeClr val="tx2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Budget'!$C$6:$D$6</c:f>
              <c:numCache>
                <c:formatCode>#,##0.00_);[Red]\(#,##0.00\)</c:formatCode>
                <c:ptCount val="2"/>
                <c:pt idx="0">
                  <c:v>20300</c:v>
                </c:pt>
                <c:pt idx="1">
                  <c:v>9450</c:v>
                </c:pt>
              </c:numCache>
            </c:numRef>
          </c:val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Budget'!$C$7:$D$7</c:f>
              <c:numCache>
                <c:formatCode>#,##0.00_);[Red]\(#,##0.00\)</c:formatCode>
                <c:ptCount val="2"/>
                <c:pt idx="0">
                  <c:v>16729.830000000002</c:v>
                </c:pt>
                <c:pt idx="1">
                  <c:v>15929.83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-819929424"/>
        <c:axId val="-819935408"/>
      </c:barChart>
      <c:catAx>
        <c:axId val="-81992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819935408"/>
        <c:crosses val="autoZero"/>
        <c:auto val="1"/>
        <c:lblAlgn val="ctr"/>
        <c:lblOffset val="100"/>
        <c:noMultiLvlLbl val="0"/>
      </c:catAx>
      <c:valAx>
        <c:axId val="-819935408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8199294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180976</xdr:rowOff>
    </xdr:from>
    <xdr:to>
      <xdr:col>4</xdr:col>
      <xdr:colOff>1416844</xdr:colOff>
      <xdr:row>28</xdr:row>
      <xdr:rowOff>119062</xdr:rowOff>
    </xdr:to>
    <xdr:graphicFrame macro="">
      <xdr:nvGraphicFramePr>
        <xdr:cNvPr id="6" name="BudgetOverview" descr="Bar chart showing estimated versus actual income and expenses" title="Budget 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peratingExpensesTable" displayName="OperatingExpensesTable" ref="H16:L37" totalsRowCount="1">
  <autoFilter ref="H16:L36"/>
  <sortState ref="H17:L37">
    <sortCondition ref="H16:H37"/>
  </sortState>
  <tableColumns count="5">
    <tableColumn id="1" name="OPERATING EXPENSES" totalsRowLabel="Total Operating" totalsRowDxfId="19"/>
    <tableColumn id="2" name="ESTIMATED" totalsRowFunction="sum" totalsRowDxfId="18"/>
    <tableColumn id="3" name="ACTUAL" totalsRowFunction="sum" totalsRowDxfId="17"/>
    <tableColumn id="5" name="Top 5 Amount" totalsRowDxfId="16">
      <calculatedColumnFormula>OperatingExpensesTable[[#This Row],[ACTUAL]]+(10^-6)*ROW(OperatingExpensesTable[[#This Row],[ACTUAL]])</calculatedColumnFormula>
    </tableColumn>
    <tableColumn id="4" name="DIFFERENCE" totalsRowFunction="sum" totalsRowDxfId="15">
      <calculatedColumnFormula>OperatingExpensesTable[[#This Row],[ESTIMATED]]-OperatingExpensesTable[[#This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2.xml><?xml version="1.0" encoding="utf-8"?>
<table xmlns="http://schemas.openxmlformats.org/spreadsheetml/2006/main" id="3" name="IncomeTable" displayName="IncomeTable" ref="H5:L8" totalsRowCount="1">
  <autoFilter ref="H5:L7"/>
  <tableColumns count="5">
    <tableColumn id="1" name="INCOME" totalsRowLabel="Total" totalsRowDxfId="4"/>
    <tableColumn id="2" name="ESTIMATED" totalsRowFunction="sum" totalsRowDxfId="3" dataCellStyle="Comma"/>
    <tableColumn id="3" name="ACTUAL" totalsRowFunction="sum" totalsRowDxfId="2" dataCellStyle="Comma"/>
    <tableColumn id="5" name="TOP 5 AMOUNT" totalsRowDxfId="1">
      <calculatedColumnFormula>IncomeTable[[#This Row],[ACTUAL]]+(10^-6)*ROW(IncomeTable[[#This Row],[ACTUAL]])</calculatedColumnFormula>
    </tableColumn>
    <tableColumn id="4" name="DIFFERENCE" totalsRowFunction="sum" totalsRowDxfId="0" dataCellStyle="Comma">
      <calculatedColumnFormula>IncomeTable[[#This Row],[ACTUAL]]-IncomeTable[[#This Row],[ESTIMATED]]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ables/table3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BUDGET TOTALS" totalsRowLabel="Balance (Income minus Expenses)"/>
    <tableColumn id="2" name="ESTIMATED" totalsRowFunction="custom">
      <totalsRowFormula>C6-C7</totalsRowFormula>
    </tableColumn>
    <tableColumn id="3" name="ACTUAL" totalsRowFunction="custom">
      <totalsRowFormula>D6-D7</totalsRowFormula>
    </tableColumn>
    <tableColumn id="4" name="DIFFERENCE" totalsRowFunction="custom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4.xml><?xml version="1.0" encoding="utf-8"?>
<table xmlns="http://schemas.openxmlformats.org/spreadsheetml/2006/main" id="1" name="Top5Expenses" displayName="Top5Expenses" ref="B32:E38" totalsRowCount="1">
  <tableColumns count="4">
    <tableColumn id="1" name="EXPENSE" totalsRowLabel="Total" totalsRowDxfId="14">
      <calculatedColumnFormula>INDEX(OperatingExpensesTable[],MATCH(Top5Expenses[[#This Row],[AMOUNT]],OperatingExpensesTable[Top 5 Amount],0),1)</calculatedColumnFormula>
    </tableColumn>
    <tableColumn id="2" name="AMOUNT" totalsRowFunction="sum" totalsRowDxfId="13"/>
    <tableColumn id="3" name="% OF EXPENSES" totalsRowFunction="sum" dataDxfId="12" totalsRowDxfId="11">
      <calculatedColumnFormula>Top5Expenses[[#This Row],[AMOUNT]]/$D$7</calculatedColumnFormula>
    </tableColumn>
    <tableColumn id="4" name="15% REDUCTION" totalsRowFunction="sum" totalsRowDxfId="10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5.xml><?xml version="1.0" encoding="utf-8"?>
<table xmlns="http://schemas.openxmlformats.org/spreadsheetml/2006/main" id="5" name="PersonnelExpensesTable" displayName="PersonnelExpensesTable" ref="H10:L14" totalsRowCount="1">
  <autoFilter ref="H10:L13"/>
  <tableColumns count="5">
    <tableColumn id="1" name="PERSONNEL EXPENSES" totalsRowLabel="Total Personnel" totalsRowDxfId="9"/>
    <tableColumn id="2" name="ESTIMATED" totalsRowFunction="sum" totalsRowDxfId="8"/>
    <tableColumn id="3" name="ACTUAL" totalsRowFunction="sum" totalsRowDxfId="7"/>
    <tableColumn id="4" name="Top 5 Amount" totalsRowDxfId="6">
      <calculatedColumnFormula>PersonnelExpensesTable[[#This Row],[ACTUAL]]+(10^-6)*ROW(PersonnelExpensesTable[[#This Row],[ACTUAL]])</calculatedColumnFormula>
    </tableColumn>
    <tableColumn id="5" name="DIFFERENCE" totalsRowFunction="sum" totalsRowDxfId="5">
      <calculatedColumnFormula>PersonnelExpensesTable[[#This Row],[ESTIMATED]]-PersonnelExpensesTable[[#This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39"/>
  <sheetViews>
    <sheetView showGridLines="0" tabSelected="1" zoomScale="80" zoomScaleNormal="80" workbookViewId="0">
      <selection activeCell="Q15" sqref="Q15"/>
    </sheetView>
  </sheetViews>
  <sheetFormatPr defaultRowHeight="15.95" customHeight="1" x14ac:dyDescent="0.35"/>
  <cols>
    <col min="1" max="1" width="2.875" style="14" customWidth="1"/>
    <col min="2" max="2" width="29.25" style="14" customWidth="1"/>
    <col min="3" max="5" width="19" style="14" customWidth="1"/>
    <col min="6" max="6" width="2.625" style="14" customWidth="1"/>
    <col min="7" max="7" width="3.75" style="30" customWidth="1"/>
    <col min="8" max="8" width="30.25" style="30" customWidth="1"/>
    <col min="9" max="10" width="17.25" style="30" customWidth="1"/>
    <col min="11" max="11" width="15.375" style="30" hidden="1" customWidth="1"/>
    <col min="12" max="12" width="17.25" style="30" customWidth="1"/>
    <col min="13" max="13" width="3.75" style="30" customWidth="1"/>
    <col min="14" max="14" width="12.25" customWidth="1"/>
    <col min="15" max="16" width="12.125" customWidth="1"/>
  </cols>
  <sheetData>
    <row r="1" spans="1:13" s="26" customFormat="1" ht="15.95" customHeight="1" x14ac:dyDescent="0.35"/>
    <row r="2" spans="1:13" s="26" customFormat="1" ht="30.75" customHeight="1" x14ac:dyDescent="0.5">
      <c r="B2" s="12" t="s">
        <v>44</v>
      </c>
      <c r="C2" s="8"/>
      <c r="D2" s="8"/>
      <c r="E2" s="8"/>
      <c r="F2" s="8"/>
      <c r="G2" s="8"/>
      <c r="H2" s="8"/>
      <c r="I2" s="9"/>
      <c r="J2" s="10"/>
      <c r="K2" s="9"/>
      <c r="L2" s="13"/>
      <c r="M2" s="10"/>
    </row>
    <row r="3" spans="1:13" s="26" customFormat="1" ht="42" customHeight="1" x14ac:dyDescent="1">
      <c r="B3" s="27" t="s">
        <v>32</v>
      </c>
      <c r="C3" s="11"/>
      <c r="D3" s="11"/>
      <c r="E3" s="11"/>
      <c r="F3" s="11"/>
      <c r="G3" s="11"/>
      <c r="H3" s="11"/>
      <c r="I3" s="9"/>
      <c r="K3" s="9"/>
      <c r="L3" s="35">
        <v>42217</v>
      </c>
      <c r="M3" s="35"/>
    </row>
    <row r="5" spans="1:13" s="1" customFormat="1" ht="21.75" customHeight="1" x14ac:dyDescent="0.35">
      <c r="A5" s="15"/>
      <c r="B5" s="23" t="s">
        <v>31</v>
      </c>
      <c r="C5" s="2" t="s">
        <v>20</v>
      </c>
      <c r="D5" s="2" t="s">
        <v>21</v>
      </c>
      <c r="E5" s="2" t="s">
        <v>22</v>
      </c>
      <c r="F5" s="16"/>
      <c r="G5" s="31"/>
      <c r="H5" s="23" t="s">
        <v>23</v>
      </c>
      <c r="I5" s="2" t="s">
        <v>20</v>
      </c>
      <c r="J5" s="2" t="s">
        <v>21</v>
      </c>
      <c r="K5" s="2" t="s">
        <v>24</v>
      </c>
      <c r="L5" s="2" t="s">
        <v>22</v>
      </c>
      <c r="M5" s="31"/>
    </row>
    <row r="6" spans="1:13" ht="16.5" customHeight="1" x14ac:dyDescent="0.35">
      <c r="B6" s="5" t="s">
        <v>14</v>
      </c>
      <c r="C6" s="6">
        <f>IncomeTable[[#Totals],[ESTIMATED]]</f>
        <v>20300</v>
      </c>
      <c r="D6" s="6">
        <f>IncomeTable[[#Totals],[ACTUAL]]</f>
        <v>9450</v>
      </c>
      <c r="E6" s="6">
        <f>TotalsTable[[#This Row],[ACTUAL]]-TotalsTable[[#This Row],[ESTIMATED]]</f>
        <v>-10850</v>
      </c>
      <c r="F6" s="17"/>
      <c r="H6" s="5" t="s">
        <v>41</v>
      </c>
      <c r="I6" s="6">
        <v>20000</v>
      </c>
      <c r="J6" s="6">
        <v>9000</v>
      </c>
      <c r="K6" s="6">
        <f>IncomeTable[[#This Row],[ACTUAL]]+(10^-6)*ROW(IncomeTable[[#This Row],[ACTUAL]])</f>
        <v>9000.0000060000002</v>
      </c>
      <c r="L6" s="6">
        <f>IncomeTable[[#This Row],[ACTUAL]]-IncomeTable[[#This Row],[ESTIMATED]]</f>
        <v>-11000</v>
      </c>
    </row>
    <row r="7" spans="1:13" ht="16.5" customHeight="1" x14ac:dyDescent="0.35">
      <c r="B7" s="5" t="s">
        <v>17</v>
      </c>
      <c r="C7" s="6">
        <f>OperatingExpensesTable[[#Totals],[ESTIMATED]]+PersonnelExpensesTable[[#Totals],[ESTIMATED]]</f>
        <v>16729.830000000002</v>
      </c>
      <c r="D7" s="6">
        <f>OperatingExpensesTable[[#Totals],[ACTUAL]]+PersonnelExpensesTable[[#Totals],[ACTUAL]]</f>
        <v>15929.83</v>
      </c>
      <c r="E7" s="6">
        <f>TotalsTable[[#This Row],[ESTIMATED]]-TotalsTable[[#This Row],[ACTUAL]]</f>
        <v>800.00000000000182</v>
      </c>
      <c r="F7" s="17"/>
      <c r="H7" s="5" t="s">
        <v>42</v>
      </c>
      <c r="I7" s="6">
        <v>300</v>
      </c>
      <c r="J7" s="6">
        <v>450</v>
      </c>
      <c r="K7" s="6">
        <f>IncomeTable[[#This Row],[ACTUAL]]+(10^-6)*ROW(IncomeTable[[#This Row],[ACTUAL]])</f>
        <v>450.00000699999998</v>
      </c>
      <c r="L7" s="6">
        <f>IncomeTable[[#This Row],[ACTUAL]]-IncomeTable[[#This Row],[ESTIMATED]]</f>
        <v>150</v>
      </c>
    </row>
    <row r="8" spans="1:13" ht="16.5" customHeight="1" x14ac:dyDescent="0.35">
      <c r="B8" s="5" t="s">
        <v>35</v>
      </c>
      <c r="C8" s="7">
        <f>C6-C7</f>
        <v>3570.1699999999983</v>
      </c>
      <c r="D8" s="7">
        <f>D6-D7</f>
        <v>-6479.83</v>
      </c>
      <c r="E8" s="6">
        <f>TotalsTable[[#Totals],[ACTUAL]]-TotalsTable[[#Totals],[ESTIMATED]]</f>
        <v>-10049.999999999998</v>
      </c>
      <c r="F8" s="18"/>
      <c r="H8" s="5" t="s">
        <v>13</v>
      </c>
      <c r="I8" s="6">
        <f>SUBTOTAL(109,IncomeTable[ESTIMATED])</f>
        <v>20300</v>
      </c>
      <c r="J8" s="6">
        <f>SUBTOTAL(109,IncomeTable[ACTUAL])</f>
        <v>9450</v>
      </c>
      <c r="K8" s="7"/>
      <c r="L8" s="6">
        <f>SUBTOTAL(109,IncomeTable[DIFFERENCE])</f>
        <v>-10850</v>
      </c>
    </row>
    <row r="9" spans="1:13" ht="16.5" customHeight="1" x14ac:dyDescent="0.35">
      <c r="H9" s="33"/>
      <c r="I9" s="33"/>
      <c r="J9" s="33"/>
      <c r="K9" s="33"/>
      <c r="L9" s="33"/>
    </row>
    <row r="10" spans="1:13" ht="16.5" customHeight="1" x14ac:dyDescent="0.35">
      <c r="H10" s="5" t="s">
        <v>25</v>
      </c>
      <c r="I10" s="4" t="s">
        <v>20</v>
      </c>
      <c r="J10" s="4" t="s">
        <v>21</v>
      </c>
      <c r="K10" s="3" t="s">
        <v>19</v>
      </c>
      <c r="L10" s="4" t="s">
        <v>22</v>
      </c>
    </row>
    <row r="11" spans="1:13" ht="21.75" customHeight="1" x14ac:dyDescent="0.35">
      <c r="H11" s="5" t="s">
        <v>15</v>
      </c>
      <c r="I11" s="6">
        <v>6324</v>
      </c>
      <c r="J11" s="32">
        <v>6324</v>
      </c>
      <c r="K11" s="7">
        <f>PersonnelExpensesTable[[#This Row],[ACTUAL]]+(10^-6)*ROW(PersonnelExpensesTable[[#This Row],[ACTUAL]])</f>
        <v>6324.0000110000001</v>
      </c>
      <c r="L11" s="6">
        <f>PersonnelExpensesTable[[#This Row],[ESTIMATED]]-PersonnelExpensesTable[[#This Row],[ACTUAL]]</f>
        <v>0</v>
      </c>
    </row>
    <row r="12" spans="1:13" ht="16.5" customHeight="1" x14ac:dyDescent="0.35">
      <c r="H12" s="5" t="s">
        <v>36</v>
      </c>
      <c r="I12" s="6">
        <v>1264</v>
      </c>
      <c r="J12" s="6">
        <v>1264</v>
      </c>
      <c r="K12" s="7">
        <f>PersonnelExpensesTable[[#This Row],[ACTUAL]]+(10^-6)*ROW(PersonnelExpensesTable[[#This Row],[ACTUAL]])</f>
        <v>1264.000012</v>
      </c>
      <c r="L12" s="6">
        <f>PersonnelExpensesTable[[#This Row],[ESTIMATED]]-PersonnelExpensesTable[[#This Row],[ACTUAL]]</f>
        <v>0</v>
      </c>
    </row>
    <row r="13" spans="1:13" ht="16.5" customHeight="1" x14ac:dyDescent="0.35">
      <c r="H13" s="5" t="s">
        <v>16</v>
      </c>
      <c r="I13" s="6">
        <v>0</v>
      </c>
      <c r="J13" s="6">
        <v>0</v>
      </c>
      <c r="K13" s="7">
        <f>PersonnelExpensesTable[[#This Row],[ACTUAL]]+(10^-6)*ROW(PersonnelExpensesTable[[#This Row],[ACTUAL]])</f>
        <v>1.2999999999999999E-5</v>
      </c>
      <c r="L13" s="6">
        <f>PersonnelExpensesTable[[#This Row],[ESTIMATED]]-PersonnelExpensesTable[[#This Row],[ACTUAL]]</f>
        <v>0</v>
      </c>
    </row>
    <row r="14" spans="1:13" ht="16.5" customHeight="1" x14ac:dyDescent="0.35">
      <c r="H14" s="5" t="s">
        <v>18</v>
      </c>
      <c r="I14" s="7">
        <f>SUBTOTAL(109,PersonnelExpensesTable[ESTIMATED])</f>
        <v>7588</v>
      </c>
      <c r="J14" s="7">
        <f>SUBTOTAL(109,PersonnelExpensesTable[ACTUAL])</f>
        <v>7588</v>
      </c>
      <c r="K14" s="7"/>
      <c r="L14" s="7">
        <f>SUBTOTAL(109,PersonnelExpensesTable[DIFFERENCE])</f>
        <v>0</v>
      </c>
    </row>
    <row r="15" spans="1:13" ht="16.5" customHeight="1" x14ac:dyDescent="0.35">
      <c r="H15" s="33"/>
      <c r="I15" s="33"/>
      <c r="J15" s="33"/>
      <c r="K15" s="33"/>
      <c r="L15" s="33"/>
    </row>
    <row r="16" spans="1:13" ht="16.5" customHeight="1" x14ac:dyDescent="0.35">
      <c r="H16" s="5" t="s">
        <v>26</v>
      </c>
      <c r="I16" s="3" t="s">
        <v>20</v>
      </c>
      <c r="J16" s="3" t="s">
        <v>21</v>
      </c>
      <c r="K16" s="3" t="s">
        <v>19</v>
      </c>
      <c r="L16" s="3" t="s">
        <v>22</v>
      </c>
    </row>
    <row r="17" spans="2:12" ht="21.75" customHeight="1" x14ac:dyDescent="0.35">
      <c r="H17" s="5" t="s">
        <v>1</v>
      </c>
      <c r="I17" s="6">
        <v>3000</v>
      </c>
      <c r="J17" s="6">
        <v>2500</v>
      </c>
      <c r="K17" s="6">
        <f>OperatingExpensesTable[[#This Row],[ACTUAL]]+(10^-6)*ROW(OperatingExpensesTable[[#This Row],[ACTUAL]])</f>
        <v>2500.0000169999998</v>
      </c>
      <c r="L17" s="6">
        <f>OperatingExpensesTable[[#This Row],[ESTIMATED]]-OperatingExpensesTable[[#This Row],[ACTUAL]]</f>
        <v>500</v>
      </c>
    </row>
    <row r="18" spans="2:12" ht="16.5" customHeight="1" x14ac:dyDescent="0.35">
      <c r="H18" s="5" t="s">
        <v>37</v>
      </c>
      <c r="I18" s="6">
        <v>0</v>
      </c>
      <c r="J18" s="6">
        <v>0</v>
      </c>
      <c r="K18" s="6">
        <f>OperatingExpensesTable[[#This Row],[ACTUAL]]+(10^-6)*ROW(OperatingExpensesTable[[#This Row],[ACTUAL]])</f>
        <v>1.8E-5</v>
      </c>
      <c r="L18" s="6">
        <f>OperatingExpensesTable[[#This Row],[ESTIMATED]]-OperatingExpensesTable[[#This Row],[ACTUAL]]</f>
        <v>0</v>
      </c>
    </row>
    <row r="19" spans="2:12" ht="16.5" customHeight="1" x14ac:dyDescent="0.35">
      <c r="H19" s="5" t="s">
        <v>45</v>
      </c>
      <c r="I19" s="6">
        <v>166</v>
      </c>
      <c r="J19" s="6">
        <v>166</v>
      </c>
      <c r="K19" s="6">
        <f>OperatingExpensesTable[[#This Row],[ACTUAL]]+(10^-6)*ROW(OperatingExpensesTable[[#This Row],[ACTUAL]])</f>
        <v>166.00001900000001</v>
      </c>
      <c r="L19" s="6">
        <f>OperatingExpensesTable[[#This Row],[ESTIMATED]]-OperatingExpensesTable[[#This Row],[ACTUAL]]</f>
        <v>0</v>
      </c>
    </row>
    <row r="20" spans="2:12" ht="16.5" customHeight="1" x14ac:dyDescent="0.35">
      <c r="H20" s="5" t="s">
        <v>46</v>
      </c>
      <c r="I20" s="6">
        <v>20.83</v>
      </c>
      <c r="J20" s="6">
        <v>20.83</v>
      </c>
      <c r="K20" s="6">
        <f>OperatingExpensesTable[[#This Row],[ACTUAL]]+(10^-6)*ROW(OperatingExpensesTable[[#This Row],[ACTUAL]])</f>
        <v>20.830019999999998</v>
      </c>
      <c r="L20" s="6">
        <f>OperatingExpensesTable[[#This Row],[ESTIMATED]]-OperatingExpensesTable[[#This Row],[ACTUAL]]</f>
        <v>0</v>
      </c>
    </row>
    <row r="21" spans="2:12" ht="16.5" customHeight="1" x14ac:dyDescent="0.35">
      <c r="H21" s="5" t="s">
        <v>2</v>
      </c>
      <c r="I21" s="6">
        <v>1000</v>
      </c>
      <c r="J21" s="6">
        <v>1000</v>
      </c>
      <c r="K21" s="6">
        <f>OperatingExpensesTable[[#This Row],[ACTUAL]]+(10^-6)*ROW(OperatingExpensesTable[[#This Row],[ACTUAL]])</f>
        <v>1000.0000209999999</v>
      </c>
      <c r="L21" s="6">
        <f>OperatingExpensesTable[[#This Row],[ESTIMATED]]-OperatingExpensesTable[[#This Row],[ACTUAL]]</f>
        <v>0</v>
      </c>
    </row>
    <row r="22" spans="2:12" ht="16.5" customHeight="1" x14ac:dyDescent="0.35">
      <c r="H22" s="5" t="s">
        <v>38</v>
      </c>
      <c r="I22" s="6">
        <v>0</v>
      </c>
      <c r="J22" s="6">
        <v>0</v>
      </c>
      <c r="K22" s="6">
        <f>OperatingExpensesTable[[#This Row],[ACTUAL]]+(10^-6)*ROW(OperatingExpensesTable[[#This Row],[ACTUAL]])</f>
        <v>2.1999999999999999E-5</v>
      </c>
      <c r="L22" s="6">
        <f>OperatingExpensesTable[[#This Row],[ESTIMATED]]-OperatingExpensesTable[[#This Row],[ACTUAL]]</f>
        <v>0</v>
      </c>
    </row>
    <row r="23" spans="2:12" ht="16.5" customHeight="1" x14ac:dyDescent="0.35">
      <c r="H23" s="5" t="s">
        <v>3</v>
      </c>
      <c r="I23" s="6">
        <v>0</v>
      </c>
      <c r="J23" s="6">
        <v>0</v>
      </c>
      <c r="K23" s="6">
        <f>OperatingExpensesTable[[#This Row],[ACTUAL]]+(10^-6)*ROW(OperatingExpensesTable[[#This Row],[ACTUAL]])</f>
        <v>2.3E-5</v>
      </c>
      <c r="L23" s="6">
        <f>OperatingExpensesTable[[#This Row],[ESTIMATED]]-OperatingExpensesTable[[#This Row],[ACTUAL]]</f>
        <v>0</v>
      </c>
    </row>
    <row r="24" spans="2:12" ht="16.5" customHeight="1" x14ac:dyDescent="0.35">
      <c r="H24" s="5" t="s">
        <v>4</v>
      </c>
      <c r="I24" s="6">
        <v>0</v>
      </c>
      <c r="J24" s="6">
        <v>0</v>
      </c>
      <c r="K24" s="6">
        <f>OperatingExpensesTable[[#This Row],[ACTUAL]]+(10^-6)*ROW(OperatingExpensesTable[[#This Row],[ACTUAL]])</f>
        <v>2.4000000000000001E-5</v>
      </c>
      <c r="L24" s="6">
        <f>OperatingExpensesTable[[#This Row],[ESTIMATED]]-OperatingExpensesTable[[#This Row],[ACTUAL]]</f>
        <v>0</v>
      </c>
    </row>
    <row r="25" spans="2:12" ht="16.5" customHeight="1" x14ac:dyDescent="0.35">
      <c r="H25" s="5" t="s">
        <v>39</v>
      </c>
      <c r="I25" s="6">
        <v>0</v>
      </c>
      <c r="J25" s="6">
        <v>0</v>
      </c>
      <c r="K25" s="6">
        <f>OperatingExpensesTable[[#This Row],[ACTUAL]]+(10^-6)*ROW(OperatingExpensesTable[[#This Row],[ACTUAL]])</f>
        <v>2.4999999999999998E-5</v>
      </c>
      <c r="L25" s="6">
        <f>OperatingExpensesTable[[#This Row],[ESTIMATED]]-OperatingExpensesTable[[#This Row],[ACTUAL]]</f>
        <v>0</v>
      </c>
    </row>
    <row r="26" spans="2:12" ht="16.5" customHeight="1" x14ac:dyDescent="0.35">
      <c r="E26" s="19"/>
      <c r="F26" s="19"/>
      <c r="H26" s="5" t="s">
        <v>40</v>
      </c>
      <c r="I26" s="6">
        <v>0</v>
      </c>
      <c r="J26" s="6">
        <v>0</v>
      </c>
      <c r="K26" s="6">
        <f>OperatingExpensesTable[[#This Row],[ACTUAL]]+(10^-6)*ROW(OperatingExpensesTable[[#This Row],[ACTUAL]])</f>
        <v>2.5999999999999998E-5</v>
      </c>
      <c r="L26" s="6">
        <f>OperatingExpensesTable[[#This Row],[ESTIMATED]]-OperatingExpensesTable[[#This Row],[ACTUAL]]</f>
        <v>0</v>
      </c>
    </row>
    <row r="27" spans="2:12" ht="16.5" customHeight="1" x14ac:dyDescent="0.35">
      <c r="D27" s="20"/>
      <c r="H27" s="5" t="s">
        <v>5</v>
      </c>
      <c r="I27" s="6">
        <v>0</v>
      </c>
      <c r="J27" s="6">
        <v>0</v>
      </c>
      <c r="K27" s="6">
        <f>OperatingExpensesTable[[#This Row],[ACTUAL]]+(10^-6)*ROW(OperatingExpensesTable[[#This Row],[ACTUAL]])</f>
        <v>2.6999999999999999E-5</v>
      </c>
      <c r="L27" s="6">
        <f>OperatingExpensesTable[[#This Row],[ESTIMATED]]-OperatingExpensesTable[[#This Row],[ACTUAL]]</f>
        <v>0</v>
      </c>
    </row>
    <row r="28" spans="2:12" ht="16.5" customHeight="1" x14ac:dyDescent="0.35">
      <c r="D28" s="20"/>
      <c r="F28" s="19"/>
      <c r="H28" s="5"/>
      <c r="I28" s="6"/>
      <c r="J28" s="6"/>
      <c r="K28" s="6">
        <f>OperatingExpensesTable[[#This Row],[ACTUAL]]+(10^-6)*ROW(OperatingExpensesTable[[#This Row],[ACTUAL]])</f>
        <v>2.8E-5</v>
      </c>
      <c r="L28" s="6"/>
    </row>
    <row r="29" spans="2:12" ht="16.5" customHeight="1" x14ac:dyDescent="0.35">
      <c r="D29" s="20"/>
      <c r="F29" s="21"/>
      <c r="H29" s="5" t="s">
        <v>6</v>
      </c>
      <c r="I29" s="6">
        <v>425</v>
      </c>
      <c r="J29" s="6">
        <v>425</v>
      </c>
      <c r="K29" s="6">
        <f>OperatingExpensesTable[[#This Row],[ACTUAL]]+(10^-6)*ROW(OperatingExpensesTable[[#This Row],[ACTUAL]])</f>
        <v>425.00002899999998</v>
      </c>
      <c r="L29" s="6">
        <f>OperatingExpensesTable[[#This Row],[ESTIMATED]]-OperatingExpensesTable[[#This Row],[ACTUAL]]</f>
        <v>0</v>
      </c>
    </row>
    <row r="30" spans="2:12" ht="16.5" customHeight="1" x14ac:dyDescent="0.35">
      <c r="B30" s="34"/>
      <c r="C30" s="34"/>
      <c r="D30" s="34"/>
      <c r="E30" s="19"/>
      <c r="F30" s="19"/>
      <c r="H30" s="5" t="s">
        <v>7</v>
      </c>
      <c r="I30" s="6">
        <v>350</v>
      </c>
      <c r="J30" s="6">
        <v>100</v>
      </c>
      <c r="K30" s="6">
        <f>OperatingExpensesTable[[#This Row],[ACTUAL]]+(10^-6)*ROW(OperatingExpensesTable[[#This Row],[ACTUAL]])</f>
        <v>100.00003</v>
      </c>
      <c r="L30" s="6">
        <f>OperatingExpensesTable[[#This Row],[ESTIMATED]]-OperatingExpensesTable[[#This Row],[ACTUAL]]</f>
        <v>250</v>
      </c>
    </row>
    <row r="31" spans="2:12" ht="16.5" customHeight="1" x14ac:dyDescent="0.35">
      <c r="B31" s="22" t="s">
        <v>27</v>
      </c>
      <c r="C31" s="22"/>
      <c r="D31" s="22"/>
      <c r="E31" s="22"/>
      <c r="H31" s="5" t="s">
        <v>8</v>
      </c>
      <c r="I31" s="6">
        <v>0</v>
      </c>
      <c r="J31" s="6">
        <v>0</v>
      </c>
      <c r="K31" s="6">
        <f>OperatingExpensesTable[[#This Row],[ACTUAL]]+(10^-6)*ROW(OperatingExpensesTable[[#This Row],[ACTUAL]])</f>
        <v>3.1000000000000001E-5</v>
      </c>
      <c r="L31" s="6">
        <f>OperatingExpensesTable[[#This Row],[ESTIMATED]]-OperatingExpensesTable[[#This Row],[ACTUAL]]</f>
        <v>0</v>
      </c>
    </row>
    <row r="32" spans="2:12" ht="16.5" customHeight="1" x14ac:dyDescent="0.35">
      <c r="B32" s="23" t="s">
        <v>28</v>
      </c>
      <c r="C32" s="2" t="s">
        <v>29</v>
      </c>
      <c r="D32" s="2" t="s">
        <v>30</v>
      </c>
      <c r="E32" s="2" t="s">
        <v>34</v>
      </c>
      <c r="H32" s="5" t="s">
        <v>9</v>
      </c>
      <c r="I32" s="6">
        <v>0</v>
      </c>
      <c r="J32" s="6">
        <v>0</v>
      </c>
      <c r="K32" s="6">
        <f>OperatingExpensesTable[[#This Row],[ACTUAL]]+(10^-6)*ROW(OperatingExpensesTable[[#This Row],[ACTUAL]])</f>
        <v>3.1999999999999999E-5</v>
      </c>
      <c r="L32" s="6">
        <f>OperatingExpensesTable[[#This Row],[ESTIMATED]]-OperatingExpensesTable[[#This Row],[ACTUAL]]</f>
        <v>0</v>
      </c>
    </row>
    <row r="33" spans="2:12" ht="16.5" customHeight="1" x14ac:dyDescent="0.35">
      <c r="B33" s="5" t="str">
        <f>INDEX(OperatingExpensesTable[],MATCH(Top5Expenses[[#This Row],[AMOUNT]],OperatingExpensesTable[Top 5 Amount],0),1)</f>
        <v>Taxes</v>
      </c>
      <c r="C33" s="24">
        <f>LARGE(OperatingExpensesTable[Top 5 Amount],1)</f>
        <v>3200.0000329999998</v>
      </c>
      <c r="D33" s="28">
        <f>Top5Expenses[[#This Row],[AMOUNT]]/$D$7</f>
        <v>0.20088099075759125</v>
      </c>
      <c r="E33" s="6">
        <f>Top5Expenses[[#This Row],[AMOUNT]]*0.15</f>
        <v>480.00000494999995</v>
      </c>
      <c r="H33" s="5" t="s">
        <v>10</v>
      </c>
      <c r="I33" s="6">
        <v>3000</v>
      </c>
      <c r="J33" s="6">
        <v>3200</v>
      </c>
      <c r="K33" s="6">
        <f>OperatingExpensesTable[[#This Row],[ACTUAL]]+(10^-6)*ROW(OperatingExpensesTable[[#This Row],[ACTUAL]])</f>
        <v>3200.0000329999998</v>
      </c>
      <c r="L33" s="6">
        <f>OperatingExpensesTable[[#This Row],[ESTIMATED]]-OperatingExpensesTable[[#This Row],[ACTUAL]]</f>
        <v>-200</v>
      </c>
    </row>
    <row r="34" spans="2:12" ht="16.5" customHeight="1" x14ac:dyDescent="0.35">
      <c r="B34" s="5" t="str">
        <f>INDEX(OperatingExpensesTable[],MATCH(Top5Expenses[[#This Row],[AMOUNT]],OperatingExpensesTable[Top 5 Amount],0),1)</f>
        <v>Advertising</v>
      </c>
      <c r="C34" s="4">
        <f>LARGE(OperatingExpensesTable[Top 5 Amount],2)</f>
        <v>2500.0000169999998</v>
      </c>
      <c r="D34" s="28">
        <f>Top5Expenses[[#This Row],[AMOUNT]]/$D$7</f>
        <v>0.15693827347812248</v>
      </c>
      <c r="E34" s="6">
        <f>Top5Expenses[[#This Row],[AMOUNT]]*0.15</f>
        <v>375.00000254999998</v>
      </c>
      <c r="H34" s="5" t="s">
        <v>11</v>
      </c>
      <c r="I34" s="6">
        <v>80</v>
      </c>
      <c r="J34" s="6">
        <v>80</v>
      </c>
      <c r="K34" s="6">
        <f>OperatingExpensesTable[[#This Row],[ACTUAL]]+(10^-6)*ROW(OperatingExpensesTable[[#This Row],[ACTUAL]])</f>
        <v>80.000033999999999</v>
      </c>
      <c r="L34" s="6">
        <f>OperatingExpensesTable[[#This Row],[ESTIMATED]]-OperatingExpensesTable[[#This Row],[ACTUAL]]</f>
        <v>0</v>
      </c>
    </row>
    <row r="35" spans="2:12" ht="16.5" customHeight="1" x14ac:dyDescent="0.35">
      <c r="B35" s="5" t="str">
        <f>INDEX(OperatingExpensesTable[],MATCH(Top5Expenses[[#This Row],[AMOUNT]],OperatingExpensesTable[Top 5 Amount],0),1)</f>
        <v>Depreciation</v>
      </c>
      <c r="C35" s="4">
        <f>LARGE(OperatingExpensesTable[Top 5 Amount],3)</f>
        <v>1000.0000209999999</v>
      </c>
      <c r="D35" s="28">
        <f>Top5Expenses[[#This Row],[AMOUNT]]/$D$7</f>
        <v>6.2775310282658384E-2</v>
      </c>
      <c r="E35" s="6">
        <f>Top5Expenses[[#This Row],[AMOUNT]]*0.15</f>
        <v>150.00000315</v>
      </c>
      <c r="H35" s="5" t="s">
        <v>12</v>
      </c>
      <c r="I35" s="6">
        <v>100</v>
      </c>
      <c r="J35" s="6">
        <v>100</v>
      </c>
      <c r="K35" s="6">
        <f>OperatingExpensesTable[[#This Row],[ACTUAL]]+(10^-6)*ROW(OperatingExpensesTable[[#This Row],[ACTUAL]])</f>
        <v>100.000035</v>
      </c>
      <c r="L35" s="6">
        <f>OperatingExpensesTable[[#This Row],[ESTIMATED]]-OperatingExpensesTable[[#This Row],[ACTUAL]]</f>
        <v>0</v>
      </c>
    </row>
    <row r="36" spans="2:12" ht="16.5" customHeight="1" x14ac:dyDescent="0.35">
      <c r="B36" s="5" t="str">
        <f>INDEX(OperatingExpensesTable[],MATCH(Top5Expenses[[#This Row],[AMOUNT]],OperatingExpensesTable[Top 5 Amount],0),1)</f>
        <v>Other</v>
      </c>
      <c r="C36" s="4">
        <f>LARGE(OperatingExpensesTable[Top 5 Amount],4)</f>
        <v>750.00003600000002</v>
      </c>
      <c r="D36" s="28">
        <f>Top5Expenses[[#This Row],[AMOUNT]]/$D$7</f>
        <v>4.7081483983193798E-2</v>
      </c>
      <c r="E36" s="6">
        <f>Top5Expenses[[#This Row],[AMOUNT]]*0.15</f>
        <v>112.50000540000001</v>
      </c>
      <c r="H36" s="5" t="s">
        <v>0</v>
      </c>
      <c r="I36" s="6">
        <v>1000</v>
      </c>
      <c r="J36" s="6">
        <v>750</v>
      </c>
      <c r="K36" s="6">
        <f>OperatingExpensesTable[[#This Row],[ACTUAL]]+(10^-6)*ROW(OperatingExpensesTable[[#This Row],[ACTUAL]])</f>
        <v>750.00003600000002</v>
      </c>
      <c r="L36" s="6">
        <f>OperatingExpensesTable[[#This Row],[ESTIMATED]]-OperatingExpensesTable[[#This Row],[ACTUAL]]</f>
        <v>250</v>
      </c>
    </row>
    <row r="37" spans="2:12" ht="16.5" customHeight="1" x14ac:dyDescent="0.35">
      <c r="B37" s="5" t="str">
        <f>INDEX(OperatingExpensesTable[],MATCH(Top5Expenses[[#This Row],[AMOUNT]],OperatingExpensesTable[Top 5 Amount],0),1)</f>
        <v>Rent or mortgage</v>
      </c>
      <c r="C37" s="4">
        <f>LARGE(OperatingExpensesTable[Top 5 Amount],5)</f>
        <v>425.00002899999998</v>
      </c>
      <c r="D37" s="28">
        <f>Top5Expenses[[#This Row],[AMOUNT]]/$D$7</f>
        <v>2.6679508130344139E-2</v>
      </c>
      <c r="E37" s="6">
        <f>Top5Expenses[[#This Row],[AMOUNT]]*0.15</f>
        <v>63.750004349999998</v>
      </c>
      <c r="H37" s="5" t="s">
        <v>33</v>
      </c>
      <c r="I37" s="7">
        <f>SUBTOTAL(109,OperatingExpensesTable[ESTIMATED])</f>
        <v>9141.83</v>
      </c>
      <c r="J37" s="7">
        <f>SUBTOTAL(109,OperatingExpensesTable[ACTUAL])</f>
        <v>8341.83</v>
      </c>
      <c r="K37" s="7"/>
      <c r="L37" s="7">
        <f>SUBTOTAL(109,OperatingExpensesTable[DIFFERENCE])</f>
        <v>800</v>
      </c>
    </row>
    <row r="38" spans="2:12" ht="16.5" customHeight="1" x14ac:dyDescent="0.35">
      <c r="B38" s="5" t="s">
        <v>13</v>
      </c>
      <c r="C38" s="25">
        <f>SUBTOTAL(109,Top5Expenses[AMOUNT])</f>
        <v>7875.0001359999997</v>
      </c>
      <c r="D38" s="29">
        <f>SUBTOTAL(109,Top5Expenses[% OF EXPENSES])</f>
        <v>0.49435556663191005</v>
      </c>
      <c r="E38" s="6">
        <f>SUBTOTAL(109,Top5Expenses[15% REDUCTION])</f>
        <v>1181.2500203999998</v>
      </c>
      <c r="H38" s="30" t="s">
        <v>43</v>
      </c>
    </row>
    <row r="39" spans="2:12" ht="15.95" customHeight="1" x14ac:dyDescent="0.35">
      <c r="B39" s="14" t="s">
        <v>43</v>
      </c>
    </row>
  </sheetData>
  <mergeCells count="4">
    <mergeCell ref="H15:L15"/>
    <mergeCell ref="H9:L9"/>
    <mergeCell ref="B30:D30"/>
    <mergeCell ref="L3:M3"/>
  </mergeCells>
  <printOptions horizontalCentered="1"/>
  <pageMargins left="0.2" right="0.2" top="0.25" bottom="0.25" header="0" footer="0"/>
  <pageSetup scale="56" fitToHeight="0" orientation="portrait" r:id="rId1"/>
  <ignoredErrors>
    <ignoredError sqref="E7" calculatedColumn="1"/>
  </ignoredErrors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A679A58-33B3-4E23-B41D-223F287AF9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L17:L36 L6:L7 L11:L13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E3B0B-7F90-4824-8437-3F3F396E9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business budget</dc:title>
  <dc:creator>TzL BDChN</dc:creator>
  <cp:keywords/>
  <cp:lastModifiedBy>TzL BDChN</cp:lastModifiedBy>
  <cp:lastPrinted>2015-04-30T05:16:39Z</cp:lastPrinted>
  <dcterms:created xsi:type="dcterms:W3CDTF">2015-04-29T08:42:49Z</dcterms:created>
  <dcterms:modified xsi:type="dcterms:W3CDTF">2015-05-07T05:44:57Z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TC034580759991</vt:lpwstr>
  </property>
</Properties>
</file>