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1.xml" ContentType="application/vnd.openxmlformats-officedocument.drawingml.chart+xml"/>
  <Override PartName="/xl/drawings/drawing13.xml" ContentType="application/vnd.openxmlformats-officedocument.drawing+xml"/>
  <Override PartName="/xl/charts/chart3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VISOR\OneDrive\Escritorio\Tec\Sem2\Análisis Estadístico\"/>
    </mc:Choice>
  </mc:AlternateContent>
  <xr:revisionPtr revIDLastSave="0" documentId="13_ncr:1_{D646167F-545C-4967-A69F-9724B3D50A4A}" xr6:coauthVersionLast="45" xr6:coauthVersionMax="45" xr10:uidLastSave="{00000000-0000-0000-0000-000000000000}"/>
  <bookViews>
    <workbookView xWindow="-120" yWindow="-120" windowWidth="20730" windowHeight="11040" firstSheet="6" activeTab="6" xr2:uid="{D8F28024-5211-468B-8D0E-924DFFD762AA}"/>
  </bookViews>
  <sheets>
    <sheet name="Portada" sheetId="15" r:id="rId1"/>
    <sheet name="Mayo 13" sheetId="1" r:id="rId2"/>
    <sheet name="Mayo 16" sheetId="2" r:id="rId3"/>
    <sheet name="Tarea MTC y MD" sheetId="3" r:id="rId4"/>
    <sheet name="Mayo 20" sheetId="4" r:id="rId5"/>
    <sheet name="Mayo 23" sheetId="5" r:id="rId6"/>
    <sheet name="Distribución de Probabilidades" sheetId="6" r:id="rId7"/>
    <sheet name="Mayo 27" sheetId="7" r:id="rId8"/>
    <sheet name="Prueba de Hipótesis" sheetId="8" r:id="rId9"/>
    <sheet name="Mayo30" sheetId="9" r:id="rId10"/>
    <sheet name="Junio 3" sheetId="10" r:id="rId11"/>
    <sheet name="Quizz" sheetId="11" r:id="rId12"/>
    <sheet name="Correlación y Regresión" sheetId="12" r:id="rId13"/>
    <sheet name="Junio 6" sheetId="13" r:id="rId14"/>
    <sheet name="Serie de Tiempo" sheetId="14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" i="5" l="1"/>
  <c r="E19" i="5"/>
  <c r="D18" i="5"/>
  <c r="M55" i="14" l="1"/>
  <c r="K54" i="14"/>
  <c r="I53" i="14"/>
  <c r="G52" i="14"/>
  <c r="E51" i="14"/>
  <c r="L56" i="14"/>
  <c r="M57" i="14" s="1"/>
  <c r="L57" i="14"/>
  <c r="M58" i="14" s="1"/>
  <c r="L58" i="14"/>
  <c r="M59" i="14" s="1"/>
  <c r="L59" i="14"/>
  <c r="M60" i="14" s="1"/>
  <c r="L60" i="14"/>
  <c r="M61" i="14" s="1"/>
  <c r="L61" i="14"/>
  <c r="L55" i="14"/>
  <c r="M56" i="14" s="1"/>
  <c r="J55" i="14"/>
  <c r="K56" i="14" s="1"/>
  <c r="J56" i="14"/>
  <c r="K57" i="14" s="1"/>
  <c r="J57" i="14"/>
  <c r="K58" i="14" s="1"/>
  <c r="J58" i="14"/>
  <c r="K59" i="14" s="1"/>
  <c r="J59" i="14"/>
  <c r="K60" i="14" s="1"/>
  <c r="J60" i="14"/>
  <c r="K61" i="14" s="1"/>
  <c r="J61" i="14"/>
  <c r="J54" i="14"/>
  <c r="K55" i="14" s="1"/>
  <c r="K62" i="14" s="1"/>
  <c r="H54" i="14"/>
  <c r="I55" i="14" s="1"/>
  <c r="H55" i="14"/>
  <c r="I56" i="14" s="1"/>
  <c r="H56" i="14"/>
  <c r="I57" i="14" s="1"/>
  <c r="H57" i="14"/>
  <c r="I58" i="14" s="1"/>
  <c r="H58" i="14"/>
  <c r="I59" i="14" s="1"/>
  <c r="H59" i="14"/>
  <c r="I60" i="14" s="1"/>
  <c r="H60" i="14"/>
  <c r="I61" i="14" s="1"/>
  <c r="H61" i="14"/>
  <c r="H53" i="14"/>
  <c r="I54" i="14" s="1"/>
  <c r="F53" i="14"/>
  <c r="G54" i="14" s="1"/>
  <c r="F54" i="14"/>
  <c r="G55" i="14" s="1"/>
  <c r="F55" i="14"/>
  <c r="G56" i="14" s="1"/>
  <c r="F56" i="14"/>
  <c r="G57" i="14" s="1"/>
  <c r="F57" i="14"/>
  <c r="G58" i="14" s="1"/>
  <c r="F58" i="14"/>
  <c r="G59" i="14" s="1"/>
  <c r="F59" i="14"/>
  <c r="G60" i="14" s="1"/>
  <c r="F60" i="14"/>
  <c r="G61" i="14" s="1"/>
  <c r="F61" i="14"/>
  <c r="F52" i="14"/>
  <c r="G53" i="14" s="1"/>
  <c r="D52" i="14"/>
  <c r="E53" i="14" s="1"/>
  <c r="D53" i="14"/>
  <c r="E54" i="14" s="1"/>
  <c r="D54" i="14"/>
  <c r="E55" i="14" s="1"/>
  <c r="D55" i="14"/>
  <c r="E56" i="14" s="1"/>
  <c r="D56" i="14"/>
  <c r="E57" i="14" s="1"/>
  <c r="D57" i="14"/>
  <c r="E58" i="14" s="1"/>
  <c r="D58" i="14"/>
  <c r="E59" i="14" s="1"/>
  <c r="D59" i="14"/>
  <c r="E60" i="14" s="1"/>
  <c r="D60" i="14"/>
  <c r="E61" i="14" s="1"/>
  <c r="D61" i="14"/>
  <c r="D51" i="14"/>
  <c r="E52" i="14" s="1"/>
  <c r="J34" i="14"/>
  <c r="J32" i="14"/>
  <c r="J29" i="14"/>
  <c r="H28" i="14"/>
  <c r="J16" i="14"/>
  <c r="H15" i="14"/>
  <c r="J13" i="14"/>
  <c r="I36" i="14"/>
  <c r="G36" i="14"/>
  <c r="I35" i="14"/>
  <c r="J36" i="14" s="1"/>
  <c r="G35" i="14"/>
  <c r="H36" i="14" s="1"/>
  <c r="I34" i="14"/>
  <c r="J35" i="14" s="1"/>
  <c r="G34" i="14"/>
  <c r="H35" i="14" s="1"/>
  <c r="I33" i="14"/>
  <c r="G33" i="14"/>
  <c r="H34" i="14" s="1"/>
  <c r="I32" i="14"/>
  <c r="J33" i="14" s="1"/>
  <c r="G32" i="14"/>
  <c r="H33" i="14" s="1"/>
  <c r="I31" i="14"/>
  <c r="G31" i="14"/>
  <c r="H32" i="14" s="1"/>
  <c r="I30" i="14"/>
  <c r="J31" i="14" s="1"/>
  <c r="G30" i="14"/>
  <c r="H31" i="14" s="1"/>
  <c r="I29" i="14"/>
  <c r="J30" i="14" s="1"/>
  <c r="G29" i="14"/>
  <c r="H30" i="14" s="1"/>
  <c r="G28" i="14"/>
  <c r="H29" i="14" s="1"/>
  <c r="I14" i="14"/>
  <c r="J15" i="14" s="1"/>
  <c r="I15" i="14"/>
  <c r="I16" i="14"/>
  <c r="J17" i="14" s="1"/>
  <c r="I17" i="14"/>
  <c r="J18" i="14" s="1"/>
  <c r="I18" i="14"/>
  <c r="J19" i="14" s="1"/>
  <c r="I19" i="14"/>
  <c r="J20" i="14" s="1"/>
  <c r="I20" i="14"/>
  <c r="I13" i="14"/>
  <c r="J14" i="14" s="1"/>
  <c r="H12" i="14"/>
  <c r="G13" i="14"/>
  <c r="H14" i="14" s="1"/>
  <c r="G14" i="14"/>
  <c r="G15" i="14"/>
  <c r="H16" i="14" s="1"/>
  <c r="G16" i="14"/>
  <c r="H17" i="14" s="1"/>
  <c r="G17" i="14"/>
  <c r="H18" i="14" s="1"/>
  <c r="G18" i="14"/>
  <c r="H19" i="14" s="1"/>
  <c r="G19" i="14"/>
  <c r="H20" i="14" s="1"/>
  <c r="G20" i="14"/>
  <c r="G12" i="14"/>
  <c r="H13" i="14" s="1"/>
  <c r="E36" i="14"/>
  <c r="E28" i="14"/>
  <c r="F29" i="14" s="1"/>
  <c r="E29" i="14"/>
  <c r="F30" i="14" s="1"/>
  <c r="E30" i="14"/>
  <c r="F31" i="14" s="1"/>
  <c r="E31" i="14"/>
  <c r="F32" i="14" s="1"/>
  <c r="E32" i="14"/>
  <c r="F33" i="14" s="1"/>
  <c r="E33" i="14"/>
  <c r="F34" i="14" s="1"/>
  <c r="E34" i="14"/>
  <c r="E35" i="14"/>
  <c r="F36" i="14" s="1"/>
  <c r="F35" i="14"/>
  <c r="E27" i="14"/>
  <c r="F28" i="14" s="1"/>
  <c r="F26" i="14"/>
  <c r="E26" i="14"/>
  <c r="F27" i="14" s="1"/>
  <c r="E11" i="14"/>
  <c r="F12" i="14" s="1"/>
  <c r="E12" i="14"/>
  <c r="F13" i="14" s="1"/>
  <c r="E13" i="14"/>
  <c r="F14" i="14" s="1"/>
  <c r="E14" i="14"/>
  <c r="F15" i="14" s="1"/>
  <c r="E15" i="14"/>
  <c r="F16" i="14" s="1"/>
  <c r="E16" i="14"/>
  <c r="F17" i="14" s="1"/>
  <c r="E17" i="14"/>
  <c r="F18" i="14" s="1"/>
  <c r="E18" i="14"/>
  <c r="F19" i="14" s="1"/>
  <c r="E19" i="14"/>
  <c r="F20" i="14" s="1"/>
  <c r="E20" i="14"/>
  <c r="E10" i="14"/>
  <c r="F11" i="14" s="1"/>
  <c r="F10" i="14"/>
  <c r="F21" i="14" l="1"/>
  <c r="G62" i="14"/>
  <c r="M62" i="14"/>
  <c r="I62" i="14"/>
  <c r="H21" i="14"/>
  <c r="J21" i="14"/>
  <c r="H37" i="14"/>
  <c r="E62" i="14"/>
  <c r="F37" i="14"/>
  <c r="J37" i="14"/>
  <c r="D69" i="13"/>
  <c r="I95" i="13"/>
  <c r="I94" i="13"/>
  <c r="J95" i="13" s="1"/>
  <c r="I93" i="13"/>
  <c r="J94" i="13" s="1"/>
  <c r="I92" i="13"/>
  <c r="J93" i="13" s="1"/>
  <c r="I91" i="13"/>
  <c r="J92" i="13" s="1"/>
  <c r="I90" i="13"/>
  <c r="J91" i="13" s="1"/>
  <c r="I89" i="13"/>
  <c r="J90" i="13" s="1"/>
  <c r="I88" i="13"/>
  <c r="J89" i="13" s="1"/>
  <c r="J87" i="13"/>
  <c r="H100" i="13" s="1"/>
  <c r="I87" i="13"/>
  <c r="J88" i="13" s="1"/>
  <c r="D95" i="13"/>
  <c r="E87" i="13"/>
  <c r="D88" i="13"/>
  <c r="E89" i="13" s="1"/>
  <c r="D89" i="13"/>
  <c r="E90" i="13" s="1"/>
  <c r="D90" i="13"/>
  <c r="E91" i="13" s="1"/>
  <c r="C100" i="13" s="1"/>
  <c r="D91" i="13"/>
  <c r="E92" i="13" s="1"/>
  <c r="D92" i="13"/>
  <c r="E93" i="13" s="1"/>
  <c r="D93" i="13"/>
  <c r="E94" i="13" s="1"/>
  <c r="D94" i="13"/>
  <c r="E95" i="13" s="1"/>
  <c r="D87" i="13"/>
  <c r="E88" i="13" s="1"/>
  <c r="E67" i="13"/>
  <c r="D68" i="13"/>
  <c r="E69" i="13" s="1"/>
  <c r="D67" i="13"/>
  <c r="E68" i="13" s="1"/>
  <c r="D36" i="13"/>
  <c r="E37" i="13" s="1"/>
  <c r="D37" i="13"/>
  <c r="E38" i="13" s="1"/>
  <c r="D38" i="13"/>
  <c r="E39" i="13" s="1"/>
  <c r="D39" i="13"/>
  <c r="E40" i="13" s="1"/>
  <c r="D40" i="13"/>
  <c r="D41" i="13"/>
  <c r="E42" i="13" s="1"/>
  <c r="D42" i="13"/>
  <c r="E43" i="13" s="1"/>
  <c r="D43" i="13"/>
  <c r="D35" i="13"/>
  <c r="E41" i="13"/>
  <c r="E36" i="13"/>
  <c r="E35" i="13"/>
  <c r="D18" i="13"/>
  <c r="D17" i="13"/>
  <c r="E18" i="13" s="1"/>
  <c r="E9" i="13"/>
  <c r="D10" i="13"/>
  <c r="E11" i="13" s="1"/>
  <c r="D11" i="13"/>
  <c r="E12" i="13" s="1"/>
  <c r="D12" i="13"/>
  <c r="E13" i="13" s="1"/>
  <c r="D13" i="13"/>
  <c r="E14" i="13" s="1"/>
  <c r="D14" i="13"/>
  <c r="E15" i="13" s="1"/>
  <c r="D15" i="13"/>
  <c r="E16" i="13" s="1"/>
  <c r="D16" i="13"/>
  <c r="E17" i="13" s="1"/>
  <c r="D9" i="13"/>
  <c r="E10" i="13" s="1"/>
  <c r="H61" i="13" l="1"/>
  <c r="E45" i="13"/>
  <c r="E20" i="13"/>
  <c r="C71" i="12"/>
  <c r="C62" i="12" l="1"/>
  <c r="B57" i="12"/>
  <c r="C72" i="11" l="1"/>
  <c r="B74" i="10" l="1"/>
  <c r="E24" i="10"/>
  <c r="E23" i="10"/>
  <c r="G139" i="9" l="1"/>
  <c r="E127" i="9"/>
  <c r="D126" i="9"/>
  <c r="F112" i="9"/>
  <c r="G112" i="9"/>
  <c r="G123" i="9" s="1"/>
  <c r="D127" i="9" s="1"/>
  <c r="H112" i="9"/>
  <c r="I112" i="9"/>
  <c r="J112" i="9"/>
  <c r="K112" i="9"/>
  <c r="F113" i="9"/>
  <c r="G113" i="9"/>
  <c r="H113" i="9"/>
  <c r="I113" i="9"/>
  <c r="J113" i="9"/>
  <c r="K113" i="9"/>
  <c r="F114" i="9"/>
  <c r="G114" i="9"/>
  <c r="H114" i="9"/>
  <c r="I114" i="9"/>
  <c r="J114" i="9"/>
  <c r="K114" i="9"/>
  <c r="F115" i="9"/>
  <c r="G115" i="9"/>
  <c r="H115" i="9"/>
  <c r="I115" i="9"/>
  <c r="J115" i="9"/>
  <c r="K115" i="9"/>
  <c r="F116" i="9"/>
  <c r="G116" i="9"/>
  <c r="H116" i="9"/>
  <c r="I116" i="9"/>
  <c r="J116" i="9"/>
  <c r="K116" i="9"/>
  <c r="F117" i="9"/>
  <c r="G117" i="9"/>
  <c r="H117" i="9"/>
  <c r="I117" i="9"/>
  <c r="J117" i="9"/>
  <c r="K117" i="9"/>
  <c r="F118" i="9"/>
  <c r="G118" i="9"/>
  <c r="H118" i="9"/>
  <c r="I118" i="9"/>
  <c r="J118" i="9"/>
  <c r="K118" i="9"/>
  <c r="F119" i="9"/>
  <c r="G119" i="9"/>
  <c r="H119" i="9"/>
  <c r="I119" i="9"/>
  <c r="J119" i="9"/>
  <c r="K119" i="9"/>
  <c r="F120" i="9"/>
  <c r="G120" i="9"/>
  <c r="H120" i="9"/>
  <c r="I120" i="9"/>
  <c r="J120" i="9"/>
  <c r="K120" i="9"/>
  <c r="F121" i="9"/>
  <c r="G121" i="9"/>
  <c r="H121" i="9"/>
  <c r="I121" i="9"/>
  <c r="J121" i="9"/>
  <c r="K121" i="9"/>
  <c r="F122" i="9"/>
  <c r="G122" i="9"/>
  <c r="H122" i="9"/>
  <c r="I122" i="9"/>
  <c r="J122" i="9"/>
  <c r="K122" i="9"/>
  <c r="K111" i="9"/>
  <c r="J111" i="9"/>
  <c r="I111" i="9"/>
  <c r="H111" i="9"/>
  <c r="G111" i="9"/>
  <c r="F111" i="9"/>
  <c r="F123" i="9" s="1"/>
  <c r="D123" i="9"/>
  <c r="C127" i="9" s="1"/>
  <c r="E123" i="9"/>
  <c r="E126" i="9" s="1"/>
  <c r="J123" i="9"/>
  <c r="D128" i="9" s="1"/>
  <c r="C123" i="9"/>
  <c r="F126" i="9" s="1"/>
  <c r="J66" i="9"/>
  <c r="J67" i="9"/>
  <c r="J68" i="9"/>
  <c r="J69" i="9"/>
  <c r="J71" i="9" s="1"/>
  <c r="J70" i="9"/>
  <c r="J65" i="9"/>
  <c r="D71" i="9"/>
  <c r="E66" i="9"/>
  <c r="F66" i="9"/>
  <c r="E67" i="9"/>
  <c r="F67" i="9"/>
  <c r="E68" i="9"/>
  <c r="F68" i="9"/>
  <c r="E69" i="9"/>
  <c r="F69" i="9"/>
  <c r="E70" i="9"/>
  <c r="F70" i="9"/>
  <c r="F65" i="9"/>
  <c r="E65" i="9"/>
  <c r="C71" i="9"/>
  <c r="E46" i="9"/>
  <c r="I123" i="9" l="1"/>
  <c r="F127" i="9" s="1"/>
  <c r="H123" i="9"/>
  <c r="E128" i="9" s="1"/>
  <c r="H126" i="9" s="1"/>
  <c r="C128" i="9"/>
  <c r="D130" i="9" s="1"/>
  <c r="K123" i="9"/>
  <c r="F128" i="9" s="1"/>
  <c r="F71" i="9"/>
  <c r="E71" i="9"/>
  <c r="D77" i="9" s="1"/>
  <c r="D139" i="9" l="1"/>
  <c r="D143" i="9"/>
  <c r="D147" i="9"/>
  <c r="D140" i="9"/>
  <c r="D144" i="9"/>
  <c r="D148" i="9"/>
  <c r="D141" i="9"/>
  <c r="D145" i="9"/>
  <c r="D149" i="9"/>
  <c r="D142" i="9"/>
  <c r="D146" i="9"/>
  <c r="D138" i="9"/>
  <c r="D74" i="9"/>
  <c r="G66" i="9" l="1"/>
  <c r="G69" i="9"/>
  <c r="G70" i="9"/>
  <c r="G68" i="9"/>
  <c r="G67" i="9"/>
  <c r="G65" i="9"/>
  <c r="H70" i="9" l="1"/>
  <c r="I70" i="9"/>
  <c r="I68" i="9"/>
  <c r="H68" i="9"/>
  <c r="G71" i="9"/>
  <c r="I65" i="9"/>
  <c r="H65" i="9"/>
  <c r="H69" i="9"/>
  <c r="I69" i="9"/>
  <c r="H67" i="9"/>
  <c r="I67" i="9"/>
  <c r="I66" i="9"/>
  <c r="H66" i="9"/>
  <c r="B19" i="9"/>
  <c r="H71" i="9" l="1"/>
  <c r="I71" i="9"/>
  <c r="F13" i="8"/>
  <c r="F33" i="8" l="1"/>
  <c r="E52" i="7" l="1"/>
  <c r="F32" i="7"/>
  <c r="H17" i="7"/>
  <c r="G17" i="7"/>
  <c r="C18" i="7"/>
  <c r="F12" i="6" l="1"/>
  <c r="E12" i="6"/>
  <c r="C27" i="6"/>
  <c r="C31" i="6"/>
  <c r="C16" i="6"/>
  <c r="C26" i="6"/>
  <c r="C128" i="6"/>
  <c r="H126" i="6" s="1"/>
  <c r="I126" i="6"/>
  <c r="F126" i="6"/>
  <c r="F107" i="6"/>
  <c r="F102" i="6"/>
  <c r="F62" i="6"/>
  <c r="F52" i="6"/>
  <c r="F53" i="6"/>
  <c r="F54" i="6"/>
  <c r="F51" i="6"/>
  <c r="H119" i="6"/>
  <c r="G119" i="6"/>
  <c r="H102" i="6"/>
  <c r="I107" i="6"/>
  <c r="H107" i="6"/>
  <c r="I102" i="6"/>
  <c r="G91" i="6"/>
  <c r="H91" i="6"/>
  <c r="H90" i="6"/>
  <c r="G90" i="6"/>
  <c r="H82" i="6"/>
  <c r="G82" i="6"/>
  <c r="H73" i="6"/>
  <c r="G73" i="6"/>
  <c r="I62" i="6"/>
  <c r="H62" i="6"/>
  <c r="I52" i="6"/>
  <c r="I53" i="6"/>
  <c r="I54" i="6"/>
  <c r="I51" i="6"/>
  <c r="H52" i="6"/>
  <c r="H53" i="6"/>
  <c r="H54" i="6"/>
  <c r="H51" i="6"/>
  <c r="G27" i="6" l="1"/>
  <c r="F27" i="6"/>
  <c r="E18" i="5"/>
  <c r="C16" i="5"/>
  <c r="C11" i="5"/>
  <c r="C7" i="5"/>
  <c r="D20" i="5" l="1"/>
  <c r="G12" i="4"/>
  <c r="G13" i="4" s="1"/>
  <c r="F14" i="4" s="1"/>
  <c r="E14" i="4"/>
  <c r="E15" i="4" s="1"/>
  <c r="E12" i="4"/>
  <c r="E13" i="4" s="1"/>
  <c r="H48" i="4"/>
  <c r="H47" i="4"/>
  <c r="H46" i="4"/>
  <c r="C43" i="4"/>
  <c r="D46" i="4" s="1"/>
  <c r="E46" i="4" s="1"/>
  <c r="G46" i="4" s="1"/>
  <c r="D47" i="4" l="1"/>
  <c r="E47" i="4" s="1"/>
  <c r="G47" i="4" s="1"/>
  <c r="I47" i="4" s="1"/>
  <c r="D48" i="4"/>
  <c r="E48" i="4" s="1"/>
  <c r="G48" i="4" s="1"/>
  <c r="I48" i="4" s="1"/>
  <c r="J48" i="4" s="1"/>
  <c r="E16" i="4"/>
  <c r="D17" i="4" s="1"/>
  <c r="I46" i="4"/>
  <c r="E32" i="4"/>
  <c r="G32" i="4" s="1"/>
  <c r="E33" i="4"/>
  <c r="F34" i="4"/>
  <c r="G34" i="4" s="1"/>
  <c r="F35" i="4"/>
  <c r="G35" i="4" s="1"/>
  <c r="F33" i="4"/>
  <c r="F36" i="4"/>
  <c r="G36" i="4" s="1"/>
  <c r="F37" i="4"/>
  <c r="G37" i="4" s="1"/>
  <c r="F38" i="4"/>
  <c r="F32" i="4"/>
  <c r="E38" i="4"/>
  <c r="E34" i="4"/>
  <c r="E35" i="4"/>
  <c r="E36" i="4"/>
  <c r="E37" i="4"/>
  <c r="C28" i="4"/>
  <c r="C27" i="4"/>
  <c r="D26" i="4"/>
  <c r="D25" i="4"/>
  <c r="C15" i="4"/>
  <c r="C14" i="4"/>
  <c r="C12" i="4"/>
  <c r="C13" i="4" s="1"/>
  <c r="G33" i="4" l="1"/>
  <c r="G38" i="4"/>
  <c r="H37" i="4"/>
  <c r="J46" i="4"/>
  <c r="C16" i="4"/>
  <c r="B17" i="4" s="1"/>
  <c r="M196" i="3" l="1"/>
  <c r="M195" i="3"/>
  <c r="M86" i="3"/>
  <c r="M85" i="3"/>
  <c r="M15" i="3"/>
  <c r="M16" i="3"/>
  <c r="E204" i="3"/>
  <c r="E205" i="3"/>
  <c r="E206" i="3"/>
  <c r="E207" i="3"/>
  <c r="E208" i="3"/>
  <c r="E209" i="3"/>
  <c r="E210" i="3"/>
  <c r="E211" i="3"/>
  <c r="E212" i="3"/>
  <c r="E213" i="3"/>
  <c r="E214" i="3"/>
  <c r="E200" i="3"/>
  <c r="E201" i="3"/>
  <c r="E202" i="3"/>
  <c r="E203" i="3"/>
  <c r="E199" i="3"/>
  <c r="E198" i="3"/>
  <c r="E189" i="3"/>
  <c r="E190" i="3"/>
  <c r="E191" i="3"/>
  <c r="E192" i="3"/>
  <c r="E193" i="3"/>
  <c r="E194" i="3"/>
  <c r="E195" i="3"/>
  <c r="E196" i="3"/>
  <c r="E197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8" i="3"/>
  <c r="H189" i="3" l="1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188" i="3"/>
  <c r="G133" i="3" l="1"/>
  <c r="G236" i="3"/>
  <c r="G238" i="3" s="1"/>
  <c r="G233" i="3"/>
  <c r="M194" i="3"/>
  <c r="E188" i="3"/>
  <c r="G235" i="3"/>
  <c r="G234" i="3"/>
  <c r="J233" i="3"/>
  <c r="M191" i="3"/>
  <c r="M190" i="3"/>
  <c r="M189" i="3"/>
  <c r="G136" i="3"/>
  <c r="G137" i="3" s="1"/>
  <c r="G135" i="3"/>
  <c r="G134" i="3"/>
  <c r="M81" i="3"/>
  <c r="M84" i="3"/>
  <c r="M80" i="3"/>
  <c r="M79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78" i="3"/>
  <c r="J133" i="3"/>
  <c r="E215" i="3" l="1"/>
  <c r="K233" i="3"/>
  <c r="I79" i="3"/>
  <c r="I83" i="3"/>
  <c r="I87" i="3"/>
  <c r="I91" i="3"/>
  <c r="I95" i="3"/>
  <c r="I99" i="3"/>
  <c r="I103" i="3"/>
  <c r="I107" i="3"/>
  <c r="I111" i="3"/>
  <c r="I115" i="3"/>
  <c r="I119" i="3"/>
  <c r="I123" i="3"/>
  <c r="I127" i="3"/>
  <c r="I80" i="3"/>
  <c r="I84" i="3"/>
  <c r="I88" i="3"/>
  <c r="I92" i="3"/>
  <c r="I96" i="3"/>
  <c r="I100" i="3"/>
  <c r="I104" i="3"/>
  <c r="I108" i="3"/>
  <c r="I112" i="3"/>
  <c r="I116" i="3"/>
  <c r="I120" i="3"/>
  <c r="I124" i="3"/>
  <c r="I78" i="3"/>
  <c r="I81" i="3"/>
  <c r="I85" i="3"/>
  <c r="I89" i="3"/>
  <c r="I93" i="3"/>
  <c r="I97" i="3"/>
  <c r="I101" i="3"/>
  <c r="I105" i="3"/>
  <c r="I109" i="3"/>
  <c r="I113" i="3"/>
  <c r="I117" i="3"/>
  <c r="I121" i="3"/>
  <c r="I125" i="3"/>
  <c r="I82" i="3"/>
  <c r="I86" i="3"/>
  <c r="I90" i="3"/>
  <c r="I94" i="3"/>
  <c r="I98" i="3"/>
  <c r="I102" i="3"/>
  <c r="I106" i="3"/>
  <c r="I110" i="3"/>
  <c r="I114" i="3"/>
  <c r="I118" i="3"/>
  <c r="I122" i="3"/>
  <c r="I126" i="3"/>
  <c r="I189" i="3"/>
  <c r="I193" i="3"/>
  <c r="I197" i="3"/>
  <c r="I201" i="3"/>
  <c r="I205" i="3"/>
  <c r="I209" i="3"/>
  <c r="I213" i="3"/>
  <c r="I221" i="3"/>
  <c r="I190" i="3"/>
  <c r="I191" i="3"/>
  <c r="I195" i="3"/>
  <c r="I199" i="3"/>
  <c r="I203" i="3"/>
  <c r="I207" i="3"/>
  <c r="I211" i="3"/>
  <c r="I215" i="3"/>
  <c r="I219" i="3"/>
  <c r="I223" i="3"/>
  <c r="I227" i="3"/>
  <c r="I192" i="3"/>
  <c r="I196" i="3"/>
  <c r="I200" i="3"/>
  <c r="I204" i="3"/>
  <c r="I208" i="3"/>
  <c r="I212" i="3"/>
  <c r="I216" i="3"/>
  <c r="I220" i="3"/>
  <c r="I224" i="3"/>
  <c r="I188" i="3"/>
  <c r="I217" i="3"/>
  <c r="I225" i="3"/>
  <c r="I194" i="3"/>
  <c r="I198" i="3"/>
  <c r="I202" i="3"/>
  <c r="I206" i="3"/>
  <c r="I210" i="3"/>
  <c r="I214" i="3"/>
  <c r="I218" i="3"/>
  <c r="I222" i="3"/>
  <c r="I226" i="3"/>
  <c r="E128" i="3"/>
  <c r="F78" i="3" s="1"/>
  <c r="K133" i="3"/>
  <c r="J234" i="3"/>
  <c r="F206" i="3" l="1"/>
  <c r="F190" i="3"/>
  <c r="F189" i="3"/>
  <c r="F205" i="3"/>
  <c r="F203" i="3"/>
  <c r="F198" i="3"/>
  <c r="F204" i="3"/>
  <c r="F199" i="3"/>
  <c r="F213" i="3"/>
  <c r="F200" i="3"/>
  <c r="F212" i="3"/>
  <c r="F193" i="3"/>
  <c r="F194" i="3"/>
  <c r="F208" i="3"/>
  <c r="F195" i="3"/>
  <c r="F210" i="3"/>
  <c r="F202" i="3"/>
  <c r="F191" i="3"/>
  <c r="F214" i="3"/>
  <c r="F201" i="3"/>
  <c r="F207" i="3"/>
  <c r="F197" i="3"/>
  <c r="F196" i="3"/>
  <c r="F211" i="3"/>
  <c r="F209" i="3"/>
  <c r="F192" i="3"/>
  <c r="F79" i="3"/>
  <c r="F117" i="3"/>
  <c r="F114" i="3"/>
  <c r="F97" i="3"/>
  <c r="F107" i="3"/>
  <c r="F90" i="3"/>
  <c r="F116" i="3"/>
  <c r="F99" i="3"/>
  <c r="F102" i="3"/>
  <c r="F85" i="3"/>
  <c r="F111" i="3"/>
  <c r="F104" i="3"/>
  <c r="F120" i="3"/>
  <c r="F87" i="3"/>
  <c r="F105" i="3"/>
  <c r="F84" i="3"/>
  <c r="F106" i="3"/>
  <c r="F122" i="3"/>
  <c r="F89" i="3"/>
  <c r="F113" i="3"/>
  <c r="F96" i="3"/>
  <c r="F115" i="3"/>
  <c r="F82" i="3"/>
  <c r="F98" i="3"/>
  <c r="F112" i="3"/>
  <c r="F95" i="3"/>
  <c r="F100" i="3"/>
  <c r="F81" i="3"/>
  <c r="F80" i="3"/>
  <c r="F123" i="3"/>
  <c r="F188" i="3"/>
  <c r="F83" i="3"/>
  <c r="F125" i="3"/>
  <c r="F118" i="3"/>
  <c r="F101" i="3"/>
  <c r="F88" i="3"/>
  <c r="F127" i="3"/>
  <c r="F94" i="3"/>
  <c r="F108" i="3"/>
  <c r="F124" i="3"/>
  <c r="F91" i="3"/>
  <c r="F109" i="3"/>
  <c r="F92" i="3"/>
  <c r="F110" i="3"/>
  <c r="F126" i="3"/>
  <c r="F93" i="3"/>
  <c r="F121" i="3"/>
  <c r="F103" i="3"/>
  <c r="F119" i="3"/>
  <c r="F86" i="3"/>
  <c r="J134" i="3"/>
  <c r="K134" i="3" s="1"/>
  <c r="J135" i="3" s="1"/>
  <c r="K135" i="3" s="1"/>
  <c r="J136" i="3" s="1"/>
  <c r="K136" i="3" s="1"/>
  <c r="K234" i="3"/>
  <c r="L133" i="3"/>
  <c r="K149" i="3" s="1"/>
  <c r="L233" i="3"/>
  <c r="K244" i="3" s="1"/>
  <c r="L134" i="3"/>
  <c r="K150" i="3" s="1"/>
  <c r="F128" i="3" l="1"/>
  <c r="F215" i="3"/>
  <c r="L234" i="3"/>
  <c r="K245" i="3" s="1"/>
  <c r="J235" i="3"/>
  <c r="K235" i="3" s="1"/>
  <c r="J236" i="3" s="1"/>
  <c r="K236" i="3" s="1"/>
  <c r="J237" i="3" s="1"/>
  <c r="K237" i="3" s="1"/>
  <c r="L135" i="3"/>
  <c r="K151" i="3" s="1"/>
  <c r="J137" i="3"/>
  <c r="K137" i="3" s="1"/>
  <c r="L235" i="3" l="1"/>
  <c r="K246" i="3" s="1"/>
  <c r="J238" i="3"/>
  <c r="K238" i="3" s="1"/>
  <c r="L236" i="3"/>
  <c r="K247" i="3" s="1"/>
  <c r="J138" i="3"/>
  <c r="K138" i="3" s="1"/>
  <c r="L136" i="3"/>
  <c r="K152" i="3" s="1"/>
  <c r="M14" i="3"/>
  <c r="G46" i="3"/>
  <c r="G43" i="3"/>
  <c r="J43" i="3"/>
  <c r="G44" i="3"/>
  <c r="G45" i="3"/>
  <c r="M10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M11" i="3"/>
  <c r="E11" i="3"/>
  <c r="E10" i="3"/>
  <c r="M9" i="3"/>
  <c r="I37" i="3" s="1"/>
  <c r="J37" i="3" s="1"/>
  <c r="E9" i="3"/>
  <c r="E8" i="3"/>
  <c r="J216" i="3" l="1"/>
  <c r="J217" i="3"/>
  <c r="I13" i="3"/>
  <c r="J13" i="3" s="1"/>
  <c r="J227" i="3"/>
  <c r="J224" i="3"/>
  <c r="J221" i="3"/>
  <c r="J218" i="3"/>
  <c r="J211" i="3"/>
  <c r="J208" i="3"/>
  <c r="J205" i="3"/>
  <c r="J202" i="3"/>
  <c r="J193" i="3"/>
  <c r="J104" i="3"/>
  <c r="J100" i="3"/>
  <c r="J96" i="3"/>
  <c r="J92" i="3"/>
  <c r="J88" i="3"/>
  <c r="J85" i="3"/>
  <c r="J81" i="3"/>
  <c r="J225" i="3"/>
  <c r="J222" i="3"/>
  <c r="J215" i="3"/>
  <c r="J212" i="3"/>
  <c r="J209" i="3"/>
  <c r="J206" i="3"/>
  <c r="J199" i="3"/>
  <c r="J195" i="3"/>
  <c r="J194" i="3"/>
  <c r="J188" i="3"/>
  <c r="J109" i="3"/>
  <c r="J111" i="3"/>
  <c r="J113" i="3"/>
  <c r="J115" i="3"/>
  <c r="J117" i="3"/>
  <c r="J119" i="3"/>
  <c r="J121" i="3"/>
  <c r="J123" i="3"/>
  <c r="J125" i="3"/>
  <c r="J127" i="3"/>
  <c r="J107" i="3"/>
  <c r="J103" i="3"/>
  <c r="J99" i="3"/>
  <c r="J95" i="3"/>
  <c r="J91" i="3"/>
  <c r="J223" i="3"/>
  <c r="J219" i="3"/>
  <c r="J210" i="3"/>
  <c r="J204" i="3"/>
  <c r="J200" i="3"/>
  <c r="J196" i="3"/>
  <c r="J192" i="3"/>
  <c r="J191" i="3"/>
  <c r="J190" i="3"/>
  <c r="J189" i="3"/>
  <c r="J105" i="3"/>
  <c r="J97" i="3"/>
  <c r="J89" i="3"/>
  <c r="J84" i="3"/>
  <c r="J79" i="3"/>
  <c r="J102" i="3"/>
  <c r="J87" i="3"/>
  <c r="J78" i="3"/>
  <c r="J226" i="3"/>
  <c r="J220" i="3"/>
  <c r="J101" i="3"/>
  <c r="J93" i="3"/>
  <c r="J82" i="3"/>
  <c r="J198" i="3"/>
  <c r="J110" i="3"/>
  <c r="J114" i="3"/>
  <c r="J118" i="3"/>
  <c r="J122" i="3"/>
  <c r="J126" i="3"/>
  <c r="J98" i="3"/>
  <c r="J90" i="3"/>
  <c r="J86" i="3"/>
  <c r="J214" i="3"/>
  <c r="J197" i="3"/>
  <c r="J108" i="3"/>
  <c r="J112" i="3"/>
  <c r="J116" i="3"/>
  <c r="J120" i="3"/>
  <c r="J124" i="3"/>
  <c r="J94" i="3"/>
  <c r="J83" i="3"/>
  <c r="J207" i="3"/>
  <c r="J203" i="3"/>
  <c r="J201" i="3"/>
  <c r="J213" i="3"/>
  <c r="J106" i="3"/>
  <c r="J80" i="3"/>
  <c r="L237" i="3"/>
  <c r="K248" i="3" s="1"/>
  <c r="J239" i="3"/>
  <c r="K239" i="3" s="1"/>
  <c r="L137" i="3"/>
  <c r="K153" i="3" s="1"/>
  <c r="J139" i="3"/>
  <c r="K139" i="3" s="1"/>
  <c r="G48" i="3"/>
  <c r="K43" i="3" s="1"/>
  <c r="E32" i="3"/>
  <c r="F12" i="3" s="1"/>
  <c r="I8" i="3"/>
  <c r="J8" i="3" s="1"/>
  <c r="I9" i="3"/>
  <c r="J9" i="3" s="1"/>
  <c r="I10" i="3"/>
  <c r="J10" i="3" s="1"/>
  <c r="I11" i="3"/>
  <c r="J11" i="3" s="1"/>
  <c r="I12" i="3"/>
  <c r="J12" i="3" s="1"/>
  <c r="I18" i="3"/>
  <c r="J18" i="3" s="1"/>
  <c r="I20" i="3"/>
  <c r="J20" i="3" s="1"/>
  <c r="I22" i="3"/>
  <c r="J22" i="3" s="1"/>
  <c r="I24" i="3"/>
  <c r="J24" i="3" s="1"/>
  <c r="I26" i="3"/>
  <c r="J26" i="3" s="1"/>
  <c r="I28" i="3"/>
  <c r="J28" i="3" s="1"/>
  <c r="I30" i="3"/>
  <c r="J30" i="3" s="1"/>
  <c r="I32" i="3"/>
  <c r="J32" i="3" s="1"/>
  <c r="I34" i="3"/>
  <c r="J34" i="3" s="1"/>
  <c r="I36" i="3"/>
  <c r="J36" i="3" s="1"/>
  <c r="I14" i="3"/>
  <c r="J14" i="3" s="1"/>
  <c r="I15" i="3"/>
  <c r="J15" i="3" s="1"/>
  <c r="I16" i="3"/>
  <c r="J16" i="3" s="1"/>
  <c r="I17" i="3"/>
  <c r="J17" i="3" s="1"/>
  <c r="I19" i="3"/>
  <c r="J19" i="3" s="1"/>
  <c r="I21" i="3"/>
  <c r="J21" i="3" s="1"/>
  <c r="I23" i="3"/>
  <c r="J23" i="3" s="1"/>
  <c r="I25" i="3"/>
  <c r="J25" i="3" s="1"/>
  <c r="I27" i="3"/>
  <c r="J27" i="3" s="1"/>
  <c r="I29" i="3"/>
  <c r="J29" i="3" s="1"/>
  <c r="I31" i="3"/>
  <c r="J31" i="3" s="1"/>
  <c r="I33" i="3"/>
  <c r="J33" i="3" s="1"/>
  <c r="I35" i="3"/>
  <c r="J35" i="3" s="1"/>
  <c r="F31" i="3" l="1"/>
  <c r="F10" i="3"/>
  <c r="F11" i="3"/>
  <c r="F27" i="3"/>
  <c r="F28" i="3"/>
  <c r="F8" i="3"/>
  <c r="F15" i="3"/>
  <c r="F26" i="3"/>
  <c r="F13" i="3"/>
  <c r="F9" i="3"/>
  <c r="F22" i="3"/>
  <c r="F20" i="3"/>
  <c r="F23" i="3"/>
  <c r="F29" i="3"/>
  <c r="F24" i="3"/>
  <c r="F18" i="3"/>
  <c r="F25" i="3"/>
  <c r="F16" i="3"/>
  <c r="J228" i="3"/>
  <c r="J229" i="3" s="1"/>
  <c r="F19" i="3"/>
  <c r="F17" i="3"/>
  <c r="F30" i="3"/>
  <c r="F14" i="3"/>
  <c r="F32" i="3" s="1"/>
  <c r="F21" i="3"/>
  <c r="J44" i="3"/>
  <c r="J128" i="3"/>
  <c r="J129" i="3" s="1"/>
  <c r="J240" i="3"/>
  <c r="K240" i="3" s="1"/>
  <c r="M233" i="3" s="1" a="1"/>
  <c r="L238" i="3"/>
  <c r="K249" i="3" s="1"/>
  <c r="L138" i="3"/>
  <c r="K154" i="3" s="1"/>
  <c r="L43" i="3"/>
  <c r="K53" i="3" s="1"/>
  <c r="K44" i="3"/>
  <c r="J38" i="3"/>
  <c r="J39" i="3" s="1"/>
  <c r="I47" i="2"/>
  <c r="F51" i="2"/>
  <c r="F50" i="2"/>
  <c r="F49" i="2"/>
  <c r="F48" i="2"/>
  <c r="F47" i="2"/>
  <c r="E14" i="2"/>
  <c r="L13" i="2"/>
  <c r="L12" i="2" s="1"/>
  <c r="E13" i="2"/>
  <c r="E12" i="2"/>
  <c r="L11" i="2"/>
  <c r="E11" i="2"/>
  <c r="E10" i="2"/>
  <c r="E9" i="2"/>
  <c r="L8" i="2"/>
  <c r="E8" i="2"/>
  <c r="L7" i="2"/>
  <c r="E7" i="2"/>
  <c r="L6" i="2"/>
  <c r="H5" i="2" s="1"/>
  <c r="I5" i="2" s="1"/>
  <c r="E6" i="2"/>
  <c r="E5" i="2"/>
  <c r="H33" i="2" l="1"/>
  <c r="M233" i="3"/>
  <c r="M235" i="3"/>
  <c r="O235" i="3" s="1"/>
  <c r="M240" i="3"/>
  <c r="O240" i="3" s="1"/>
  <c r="M236" i="3"/>
  <c r="O236" i="3" s="1"/>
  <c r="M234" i="3"/>
  <c r="M238" i="3"/>
  <c r="O238" i="3" s="1"/>
  <c r="M239" i="3"/>
  <c r="O239" i="3" s="1"/>
  <c r="M237" i="3"/>
  <c r="O237" i="3" s="1"/>
  <c r="L240" i="3"/>
  <c r="K251" i="3" s="1"/>
  <c r="L239" i="3"/>
  <c r="K250" i="3" s="1"/>
  <c r="L139" i="3"/>
  <c r="K155" i="3" s="1"/>
  <c r="J140" i="3"/>
  <c r="K140" i="3" s="1"/>
  <c r="J45" i="3"/>
  <c r="L44" i="3"/>
  <c r="K54" i="3" s="1"/>
  <c r="F52" i="2"/>
  <c r="J47" i="2" s="1"/>
  <c r="H11" i="2"/>
  <c r="I11" i="2" s="1"/>
  <c r="H13" i="2"/>
  <c r="I13" i="2" s="1"/>
  <c r="H18" i="2"/>
  <c r="I18" i="2" s="1"/>
  <c r="H24" i="2"/>
  <c r="I24" i="2" s="1"/>
  <c r="H28" i="2"/>
  <c r="I28" i="2" s="1"/>
  <c r="H32" i="2"/>
  <c r="I32" i="2" s="1"/>
  <c r="H36" i="2"/>
  <c r="I36" i="2" s="1"/>
  <c r="H40" i="2"/>
  <c r="I40" i="2" s="1"/>
  <c r="H10" i="2"/>
  <c r="I10" i="2" s="1"/>
  <c r="H12" i="2"/>
  <c r="I12" i="2" s="1"/>
  <c r="H14" i="2"/>
  <c r="I14" i="2" s="1"/>
  <c r="H16" i="2"/>
  <c r="I16" i="2" s="1"/>
  <c r="H20" i="2"/>
  <c r="I20" i="2" s="1"/>
  <c r="H22" i="2"/>
  <c r="I22" i="2" s="1"/>
  <c r="H26" i="2"/>
  <c r="I26" i="2" s="1"/>
  <c r="H30" i="2"/>
  <c r="I30" i="2" s="1"/>
  <c r="H34" i="2"/>
  <c r="I34" i="2" s="1"/>
  <c r="H38" i="2"/>
  <c r="I38" i="2" s="1"/>
  <c r="H6" i="2"/>
  <c r="I6" i="2" s="1"/>
  <c r="H7" i="2"/>
  <c r="I7" i="2" s="1"/>
  <c r="H8" i="2"/>
  <c r="I8" i="2" s="1"/>
  <c r="H9" i="2"/>
  <c r="I9" i="2" s="1"/>
  <c r="H15" i="2"/>
  <c r="I15" i="2" s="1"/>
  <c r="H17" i="2"/>
  <c r="I17" i="2" s="1"/>
  <c r="H19" i="2"/>
  <c r="I19" i="2" s="1"/>
  <c r="H21" i="2"/>
  <c r="I21" i="2" s="1"/>
  <c r="H23" i="2"/>
  <c r="I23" i="2" s="1"/>
  <c r="H25" i="2"/>
  <c r="I25" i="2" s="1"/>
  <c r="H27" i="2"/>
  <c r="I27" i="2" s="1"/>
  <c r="H29" i="2"/>
  <c r="I29" i="2" s="1"/>
  <c r="H31" i="2"/>
  <c r="I31" i="2" s="1"/>
  <c r="I33" i="2"/>
  <c r="H35" i="2"/>
  <c r="I35" i="2" s="1"/>
  <c r="H37" i="2"/>
  <c r="I37" i="2" s="1"/>
  <c r="H39" i="2"/>
  <c r="I39" i="2" s="1"/>
  <c r="I48" i="2" l="1"/>
  <c r="K47" i="2"/>
  <c r="I41" i="2"/>
  <c r="I42" i="2" s="1"/>
  <c r="O234" i="3"/>
  <c r="N233" i="3"/>
  <c r="N234" i="3" s="1"/>
  <c r="N235" i="3" s="1"/>
  <c r="N236" i="3" s="1"/>
  <c r="N237" i="3" s="1"/>
  <c r="N238" i="3" s="1"/>
  <c r="N239" i="3" s="1"/>
  <c r="N240" i="3" s="1"/>
  <c r="O233" i="3"/>
  <c r="P233" i="3" s="1"/>
  <c r="J141" i="3"/>
  <c r="K141" i="3" s="1"/>
  <c r="L140" i="3"/>
  <c r="K156" i="3" s="1"/>
  <c r="K45" i="3"/>
  <c r="K57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43" i="1"/>
  <c r="D43" i="1" s="1"/>
  <c r="K54" i="1"/>
  <c r="P234" i="3" l="1"/>
  <c r="P235" i="3" s="1"/>
  <c r="P236" i="3" s="1"/>
  <c r="P237" i="3" s="1"/>
  <c r="P238" i="3" s="1"/>
  <c r="P239" i="3" s="1"/>
  <c r="P240" i="3" s="1"/>
  <c r="G43" i="1"/>
  <c r="D44" i="1"/>
  <c r="E54" i="1"/>
  <c r="C87" i="1"/>
  <c r="E77" i="1" s="1"/>
  <c r="J48" i="2"/>
  <c r="J142" i="3"/>
  <c r="K142" i="3" s="1"/>
  <c r="L141" i="3"/>
  <c r="K157" i="3" s="1"/>
  <c r="J46" i="3"/>
  <c r="L45" i="3"/>
  <c r="K55" i="3" s="1"/>
  <c r="C12" i="1"/>
  <c r="D6" i="1" s="1"/>
  <c r="E50" i="1" l="1"/>
  <c r="E82" i="1"/>
  <c r="E79" i="1"/>
  <c r="E45" i="1"/>
  <c r="E76" i="1"/>
  <c r="E56" i="1"/>
  <c r="E86" i="1"/>
  <c r="E81" i="1"/>
  <c r="E73" i="1"/>
  <c r="E84" i="1"/>
  <c r="E43" i="1"/>
  <c r="F43" i="1" s="1"/>
  <c r="E66" i="1"/>
  <c r="E59" i="1"/>
  <c r="E51" i="1"/>
  <c r="E85" i="1"/>
  <c r="E53" i="1"/>
  <c r="E70" i="1"/>
  <c r="E63" i="1"/>
  <c r="E80" i="1"/>
  <c r="E68" i="1"/>
  <c r="E52" i="1"/>
  <c r="I49" i="2"/>
  <c r="H43" i="1"/>
  <c r="G44" i="1"/>
  <c r="D45" i="1"/>
  <c r="E58" i="1"/>
  <c r="E74" i="1"/>
  <c r="E71" i="1"/>
  <c r="E57" i="1"/>
  <c r="E49" i="1"/>
  <c r="E60" i="1"/>
  <c r="E65" i="1"/>
  <c r="E47" i="1"/>
  <c r="E67" i="1"/>
  <c r="E44" i="1"/>
  <c r="F44" i="1" s="1"/>
  <c r="K48" i="2"/>
  <c r="E46" i="1"/>
  <c r="E62" i="1"/>
  <c r="E78" i="1"/>
  <c r="E55" i="1"/>
  <c r="E75" i="1"/>
  <c r="E64" i="1"/>
  <c r="E69" i="1"/>
  <c r="E83" i="1"/>
  <c r="E61" i="1"/>
  <c r="E48" i="1"/>
  <c r="E72" i="1"/>
  <c r="J143" i="3"/>
  <c r="K46" i="3"/>
  <c r="D9" i="1"/>
  <c r="D12" i="1"/>
  <c r="D8" i="1"/>
  <c r="D11" i="1"/>
  <c r="D7" i="1"/>
  <c r="D10" i="1"/>
  <c r="H44" i="1" l="1"/>
  <c r="F45" i="1"/>
  <c r="D46" i="1"/>
  <c r="G45" i="1"/>
  <c r="J49" i="2"/>
  <c r="K143" i="3"/>
  <c r="L142" i="3"/>
  <c r="K158" i="3" s="1"/>
  <c r="J47" i="3"/>
  <c r="L46" i="3"/>
  <c r="K56" i="3" s="1"/>
  <c r="D47" i="1" l="1"/>
  <c r="G46" i="1"/>
  <c r="I50" i="2"/>
  <c r="F46" i="1"/>
  <c r="H45" i="1"/>
  <c r="K49" i="2"/>
  <c r="L143" i="3"/>
  <c r="K159" i="3" s="1"/>
  <c r="M133" i="3" a="1"/>
  <c r="K47" i="3"/>
  <c r="J50" i="2" l="1"/>
  <c r="K50" i="2"/>
  <c r="F47" i="1"/>
  <c r="H46" i="1"/>
  <c r="D48" i="1"/>
  <c r="G47" i="1"/>
  <c r="M133" i="3"/>
  <c r="M139" i="3"/>
  <c r="O139" i="3" s="1"/>
  <c r="M135" i="3"/>
  <c r="O135" i="3" s="1"/>
  <c r="M142" i="3"/>
  <c r="O142" i="3" s="1"/>
  <c r="M136" i="3"/>
  <c r="O136" i="3" s="1"/>
  <c r="M138" i="3"/>
  <c r="O138" i="3" s="1"/>
  <c r="M137" i="3"/>
  <c r="O137" i="3" s="1"/>
  <c r="M141" i="3"/>
  <c r="O141" i="3" s="1"/>
  <c r="M143" i="3"/>
  <c r="O143" i="3" s="1"/>
  <c r="M134" i="3"/>
  <c r="O134" i="3" s="1"/>
  <c r="M140" i="3"/>
  <c r="O140" i="3" s="1"/>
  <c r="J48" i="3"/>
  <c r="L47" i="3"/>
  <c r="K57" i="3" s="1"/>
  <c r="F48" i="1" l="1"/>
  <c r="H47" i="1"/>
  <c r="D49" i="1"/>
  <c r="G48" i="1"/>
  <c r="I51" i="2"/>
  <c r="N133" i="3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O133" i="3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K48" i="3"/>
  <c r="J49" i="3" s="1"/>
  <c r="D50" i="1" l="1"/>
  <c r="G49" i="1"/>
  <c r="J51" i="2"/>
  <c r="L47" i="2" s="1" a="1"/>
  <c r="F49" i="1"/>
  <c r="H48" i="1"/>
  <c r="L48" i="3"/>
  <c r="K58" i="3" s="1"/>
  <c r="K49" i="3"/>
  <c r="M43" i="3" s="1" a="1"/>
  <c r="K51" i="2" l="1"/>
  <c r="L47" i="2"/>
  <c r="L48" i="2"/>
  <c r="L51" i="2"/>
  <c r="N51" i="2" s="1"/>
  <c r="L49" i="2"/>
  <c r="N49" i="2" s="1"/>
  <c r="L50" i="2"/>
  <c r="N50" i="2" s="1"/>
  <c r="F50" i="1"/>
  <c r="H49" i="1"/>
  <c r="D51" i="1"/>
  <c r="G50" i="1"/>
  <c r="M43" i="3"/>
  <c r="M49" i="3"/>
  <c r="O49" i="3" s="1"/>
  <c r="M47" i="3"/>
  <c r="O47" i="3" s="1"/>
  <c r="M48" i="3"/>
  <c r="O48" i="3" s="1"/>
  <c r="M46" i="3"/>
  <c r="O46" i="3" s="1"/>
  <c r="M44" i="3"/>
  <c r="O44" i="3" s="1"/>
  <c r="M45" i="3"/>
  <c r="O45" i="3" s="1"/>
  <c r="L49" i="3"/>
  <c r="K59" i="3" s="1"/>
  <c r="F51" i="1" l="1"/>
  <c r="H50" i="1"/>
  <c r="N48" i="2"/>
  <c r="D52" i="1"/>
  <c r="G51" i="1"/>
  <c r="M47" i="2"/>
  <c r="M48" i="2" s="1"/>
  <c r="M49" i="2" s="1"/>
  <c r="M50" i="2" s="1"/>
  <c r="M51" i="2" s="1"/>
  <c r="N47" i="2"/>
  <c r="O47" i="2" s="1"/>
  <c r="O48" i="2" s="1"/>
  <c r="O49" i="2" s="1"/>
  <c r="O50" i="2" s="1"/>
  <c r="O51" i="2" s="1"/>
  <c r="O43" i="3"/>
  <c r="P43" i="3" s="1"/>
  <c r="P44" i="3" s="1"/>
  <c r="P45" i="3" s="1"/>
  <c r="P46" i="3" s="1"/>
  <c r="P47" i="3" s="1"/>
  <c r="P48" i="3" s="1"/>
  <c r="P49" i="3" s="1"/>
  <c r="N43" i="3"/>
  <c r="N44" i="3" s="1"/>
  <c r="N45" i="3" s="1"/>
  <c r="N46" i="3" s="1"/>
  <c r="N47" i="3" s="1"/>
  <c r="N48" i="3" s="1"/>
  <c r="N49" i="3" s="1"/>
  <c r="D53" i="1" l="1"/>
  <c r="G52" i="1"/>
  <c r="F52" i="1"/>
  <c r="H51" i="1"/>
  <c r="F53" i="1" l="1"/>
  <c r="H52" i="1"/>
  <c r="D54" i="1"/>
  <c r="G53" i="1"/>
  <c r="D55" i="1" l="1"/>
  <c r="G54" i="1"/>
  <c r="F54" i="1"/>
  <c r="H53" i="1"/>
  <c r="F55" i="1" l="1"/>
  <c r="H54" i="1"/>
  <c r="D56" i="1"/>
  <c r="G55" i="1"/>
  <c r="D57" i="1" l="1"/>
  <c r="G56" i="1"/>
  <c r="F56" i="1"/>
  <c r="H55" i="1"/>
  <c r="F57" i="1" l="1"/>
  <c r="H56" i="1"/>
  <c r="D58" i="1"/>
  <c r="G57" i="1"/>
  <c r="D59" i="1" l="1"/>
  <c r="G58" i="1"/>
  <c r="F58" i="1"/>
  <c r="H57" i="1"/>
  <c r="F59" i="1" l="1"/>
  <c r="H58" i="1"/>
  <c r="D60" i="1"/>
  <c r="G59" i="1"/>
  <c r="D61" i="1" l="1"/>
  <c r="G60" i="1"/>
  <c r="F60" i="1"/>
  <c r="H59" i="1"/>
  <c r="F61" i="1" l="1"/>
  <c r="H60" i="1"/>
  <c r="D62" i="1"/>
  <c r="G61" i="1"/>
  <c r="D63" i="1" l="1"/>
  <c r="G62" i="1"/>
  <c r="F62" i="1"/>
  <c r="H61" i="1"/>
  <c r="F63" i="1" l="1"/>
  <c r="H62" i="1"/>
  <c r="D64" i="1"/>
  <c r="G63" i="1"/>
  <c r="D65" i="1" l="1"/>
  <c r="G64" i="1"/>
  <c r="F64" i="1"/>
  <c r="H63" i="1"/>
  <c r="F65" i="1" l="1"/>
  <c r="H64" i="1"/>
  <c r="D66" i="1"/>
  <c r="G65" i="1"/>
  <c r="D67" i="1" l="1"/>
  <c r="G66" i="1"/>
  <c r="F66" i="1"/>
  <c r="H65" i="1"/>
  <c r="F67" i="1" l="1"/>
  <c r="H66" i="1"/>
  <c r="D68" i="1"/>
  <c r="G67" i="1"/>
  <c r="D69" i="1" l="1"/>
  <c r="G68" i="1"/>
  <c r="F68" i="1"/>
  <c r="H67" i="1"/>
  <c r="F69" i="1" l="1"/>
  <c r="H68" i="1"/>
  <c r="D70" i="1"/>
  <c r="G69" i="1"/>
  <c r="D71" i="1" l="1"/>
  <c r="G70" i="1"/>
  <c r="F70" i="1"/>
  <c r="H69" i="1"/>
  <c r="F71" i="1" l="1"/>
  <c r="H70" i="1"/>
  <c r="D72" i="1"/>
  <c r="G71" i="1"/>
  <c r="D73" i="1" l="1"/>
  <c r="G72" i="1"/>
  <c r="F72" i="1"/>
  <c r="H71" i="1"/>
  <c r="F73" i="1" l="1"/>
  <c r="H72" i="1"/>
  <c r="D74" i="1"/>
  <c r="G73" i="1"/>
  <c r="D75" i="1" l="1"/>
  <c r="G74" i="1"/>
  <c r="F74" i="1"/>
  <c r="H73" i="1"/>
  <c r="F75" i="1" l="1"/>
  <c r="H74" i="1"/>
  <c r="D76" i="1"/>
  <c r="G75" i="1"/>
  <c r="D77" i="1" l="1"/>
  <c r="G76" i="1"/>
  <c r="F76" i="1"/>
  <c r="H75" i="1"/>
  <c r="F77" i="1" l="1"/>
  <c r="H76" i="1"/>
  <c r="D78" i="1"/>
  <c r="G77" i="1"/>
  <c r="D79" i="1" l="1"/>
  <c r="G78" i="1"/>
  <c r="F78" i="1"/>
  <c r="H77" i="1"/>
  <c r="F79" i="1" l="1"/>
  <c r="H78" i="1"/>
  <c r="D80" i="1"/>
  <c r="G79" i="1"/>
  <c r="D81" i="1" l="1"/>
  <c r="G80" i="1"/>
  <c r="F80" i="1"/>
  <c r="H79" i="1"/>
  <c r="F81" i="1" l="1"/>
  <c r="H80" i="1"/>
  <c r="D82" i="1"/>
  <c r="G81" i="1"/>
  <c r="D83" i="1" l="1"/>
  <c r="G82" i="1"/>
  <c r="F82" i="1"/>
  <c r="H81" i="1"/>
  <c r="F83" i="1" l="1"/>
  <c r="H82" i="1"/>
  <c r="D84" i="1"/>
  <c r="G83" i="1"/>
  <c r="D85" i="1" l="1"/>
  <c r="G84" i="1"/>
  <c r="F84" i="1"/>
  <c r="H83" i="1"/>
  <c r="F85" i="1" l="1"/>
  <c r="H84" i="1"/>
  <c r="D86" i="1"/>
  <c r="G86" i="1" s="1"/>
  <c r="G85" i="1"/>
  <c r="F86" i="1" l="1"/>
  <c r="H86" i="1" s="1"/>
  <c r="H85" i="1"/>
</calcChain>
</file>

<file path=xl/sharedStrings.xml><?xml version="1.0" encoding="utf-8"?>
<sst xmlns="http://schemas.openxmlformats.org/spreadsheetml/2006/main" count="1017" uniqueCount="399">
  <si>
    <t>categoría</t>
  </si>
  <si>
    <t>cantidad</t>
  </si>
  <si>
    <t>personal militar</t>
  </si>
  <si>
    <t>operación y mantenimiento</t>
  </si>
  <si>
    <t>adquisiciones</t>
  </si>
  <si>
    <t>investigación y desarrollo</t>
  </si>
  <si>
    <t>construcción militar</t>
  </si>
  <si>
    <t>otra</t>
  </si>
  <si>
    <t>total</t>
  </si>
  <si>
    <t>´porcentaje</t>
  </si>
  <si>
    <t>Año</t>
  </si>
  <si>
    <t>85 o más</t>
  </si>
  <si>
    <t>Proyecciones Crecimiento de Población</t>
  </si>
  <si>
    <t>xi</t>
  </si>
  <si>
    <t>frecuencia absoluta f</t>
  </si>
  <si>
    <t>frecuencia acumulada Fi</t>
  </si>
  <si>
    <t>frecuencia relativa fi</t>
  </si>
  <si>
    <t>frecuencia relativa acumulada</t>
  </si>
  <si>
    <t>Distribución de Frecuencias para Datos No Agrupados</t>
  </si>
  <si>
    <t>DATOS</t>
  </si>
  <si>
    <t>ORDENADOS</t>
  </si>
  <si>
    <t>CANTIDAD</t>
  </si>
  <si>
    <t>TOTAL</t>
  </si>
  <si>
    <t>frecuencia absoluta acum %</t>
  </si>
  <si>
    <t>fi acumulada%</t>
  </si>
  <si>
    <t>Rango</t>
  </si>
  <si>
    <t>Calificaciones</t>
  </si>
  <si>
    <t>Orden</t>
  </si>
  <si>
    <t>Xi</t>
  </si>
  <si>
    <t>Frecuencia</t>
  </si>
  <si>
    <t>(Xi - Media)</t>
  </si>
  <si>
    <t>(Xi - Media)^2</t>
  </si>
  <si>
    <t>MTC</t>
  </si>
  <si>
    <t>Media</t>
  </si>
  <si>
    <t>Mediana</t>
  </si>
  <si>
    <t>Moda</t>
  </si>
  <si>
    <t>Error típico</t>
  </si>
  <si>
    <t>Dispersión</t>
  </si>
  <si>
    <t>Desviación estándar</t>
  </si>
  <si>
    <t>Varianza</t>
  </si>
  <si>
    <t>Varianza de la muestra</t>
  </si>
  <si>
    <t>Desviación Estandar</t>
  </si>
  <si>
    <t>Curtosis</t>
  </si>
  <si>
    <t>Coeficiente de asimetría</t>
  </si>
  <si>
    <t>Mínimo</t>
  </si>
  <si>
    <t>Máximo</t>
  </si>
  <si>
    <t>Suma</t>
  </si>
  <si>
    <t>Cuenta</t>
  </si>
  <si>
    <t>Nivel de confianza(95.0%)</t>
  </si>
  <si>
    <t>Total</t>
  </si>
  <si>
    <t>Datos No Agrupados</t>
  </si>
  <si>
    <t>Calculo de Intervalos</t>
  </si>
  <si>
    <t>Número de datos(n):</t>
  </si>
  <si>
    <t>Valor Max</t>
  </si>
  <si>
    <t>Valor Min</t>
  </si>
  <si>
    <t>Número de intervalos</t>
  </si>
  <si>
    <t>Amplitud(w)</t>
  </si>
  <si>
    <t>Clase</t>
  </si>
  <si>
    <t>Límite Inferior</t>
  </si>
  <si>
    <t>Límite Superior</t>
  </si>
  <si>
    <t>Marca de Clase</t>
  </si>
  <si>
    <t>Límite de Clase</t>
  </si>
  <si>
    <t>Punto Medio</t>
  </si>
  <si>
    <t>Frecuencia Absoluta</t>
  </si>
  <si>
    <t>Acumulado</t>
  </si>
  <si>
    <t>Frecuencia Relativa</t>
  </si>
  <si>
    <t>Polígono de Frecuencia</t>
  </si>
  <si>
    <t>Intervalo</t>
  </si>
  <si>
    <t>2, 21</t>
  </si>
  <si>
    <t>22, 41</t>
  </si>
  <si>
    <t>41, 62</t>
  </si>
  <si>
    <t>63, 82</t>
  </si>
  <si>
    <t>83, 102</t>
  </si>
  <si>
    <t>48,53</t>
  </si>
  <si>
    <t>64, 59</t>
  </si>
  <si>
    <t>60, 65</t>
  </si>
  <si>
    <t>66, 72</t>
  </si>
  <si>
    <t>73, 78</t>
  </si>
  <si>
    <t>79, 84</t>
  </si>
  <si>
    <t>85, 90</t>
  </si>
  <si>
    <t>Velocidades</t>
  </si>
  <si>
    <t>Problema 1</t>
  </si>
  <si>
    <t>Problema 2</t>
  </si>
  <si>
    <t>Datos</t>
  </si>
  <si>
    <t>Problema 3</t>
  </si>
  <si>
    <t>Cargas</t>
  </si>
  <si>
    <t>Columna1</t>
  </si>
  <si>
    <t>Varianza Poblacion</t>
  </si>
  <si>
    <r>
      <t>42.73</t>
    </r>
    <r>
      <rPr>
        <sz val="11"/>
        <rFont val="Consolas"/>
        <family val="3"/>
      </rPr>
      <t>, 45.48</t>
    </r>
  </si>
  <si>
    <r>
      <t>46.48</t>
    </r>
    <r>
      <rPr>
        <sz val="11"/>
        <rFont val="Consolas"/>
        <family val="3"/>
      </rPr>
      <t>, 49.23</t>
    </r>
  </si>
  <si>
    <r>
      <t>50.23</t>
    </r>
    <r>
      <rPr>
        <sz val="11"/>
        <rFont val="Consolas"/>
        <family val="3"/>
      </rPr>
      <t>, 52.98</t>
    </r>
  </si>
  <si>
    <r>
      <t>53.98</t>
    </r>
    <r>
      <rPr>
        <sz val="11"/>
        <rFont val="Consolas"/>
        <family val="3"/>
      </rPr>
      <t>, 56.73</t>
    </r>
  </si>
  <si>
    <r>
      <t>57.73</t>
    </r>
    <r>
      <rPr>
        <sz val="11"/>
        <rFont val="Consolas"/>
        <family val="3"/>
      </rPr>
      <t>, 60.48</t>
    </r>
  </si>
  <si>
    <r>
      <t>61.48</t>
    </r>
    <r>
      <rPr>
        <sz val="11"/>
        <rFont val="Consolas"/>
        <family val="3"/>
      </rPr>
      <t>, 64.23</t>
    </r>
  </si>
  <si>
    <r>
      <t>65.23</t>
    </r>
    <r>
      <rPr>
        <sz val="11"/>
        <rFont val="Consolas"/>
        <family val="3"/>
      </rPr>
      <t>, 67.98</t>
    </r>
  </si>
  <si>
    <r>
      <t>68.98</t>
    </r>
    <r>
      <rPr>
        <sz val="11"/>
        <rFont val="Consolas"/>
        <family val="3"/>
      </rPr>
      <t>, 71.73</t>
    </r>
  </si>
  <si>
    <r>
      <t>72.73</t>
    </r>
    <r>
      <rPr>
        <sz val="11"/>
        <rFont val="Consolas"/>
        <family val="3"/>
      </rPr>
      <t>, 75.48</t>
    </r>
  </si>
  <si>
    <r>
      <t>76.48</t>
    </r>
    <r>
      <rPr>
        <sz val="11"/>
        <rFont val="Consolas"/>
        <family val="3"/>
      </rPr>
      <t>, 79.23</t>
    </r>
  </si>
  <si>
    <r>
      <t>80.23</t>
    </r>
    <r>
      <rPr>
        <sz val="11"/>
        <rFont val="Consolas"/>
        <family val="3"/>
      </rPr>
      <t>, 82.98</t>
    </r>
  </si>
  <si>
    <t>25.80, 26.58</t>
  </si>
  <si>
    <t>27.58, 28.35</t>
  </si>
  <si>
    <t>29.35, 30.13</t>
  </si>
  <si>
    <t>31.13, 31.90</t>
  </si>
  <si>
    <t>32.90, 33.68</t>
  </si>
  <si>
    <t>34.68, 35.45</t>
  </si>
  <si>
    <t>36.45, 37.23</t>
  </si>
  <si>
    <t>38.23, 39.00</t>
  </si>
  <si>
    <t xml:space="preserve">1.- Cierta marca de focos tiene una vida media de 750 horas y una desviación estándar de 75. Si sus tiempos de vida se distribuyen normalmente ¿Cuál es la probabilidad de que un foco dure: a) entre 750 y 850 hora? B) entre 785 y 800 horas c) mas de 700 </t>
  </si>
  <si>
    <t>media</t>
  </si>
  <si>
    <t>desv est</t>
  </si>
  <si>
    <t>a)</t>
  </si>
  <si>
    <t>750 &lt; x &lt; 850</t>
  </si>
  <si>
    <t>z para 750</t>
  </si>
  <si>
    <t>z para 850</t>
  </si>
  <si>
    <t>p(X&lt;=850)</t>
  </si>
  <si>
    <t>p(x&lt;=750)</t>
  </si>
  <si>
    <t>Lim. I.</t>
  </si>
  <si>
    <t>Lim. S.</t>
  </si>
  <si>
    <t>Desv. Est.</t>
  </si>
  <si>
    <t>Caso 1</t>
  </si>
  <si>
    <t>Z</t>
  </si>
  <si>
    <t>Calif.</t>
  </si>
  <si>
    <t>Caso 2</t>
  </si>
  <si>
    <t>Caso 3</t>
  </si>
  <si>
    <t>Caso 4</t>
  </si>
  <si>
    <t>Ej. 1</t>
  </si>
  <si>
    <t>Ej. 2</t>
  </si>
  <si>
    <t>Caso 5</t>
  </si>
  <si>
    <t>Caso 6</t>
  </si>
  <si>
    <t>Área LI</t>
  </si>
  <si>
    <t>Área LS</t>
  </si>
  <si>
    <t>Área</t>
  </si>
  <si>
    <t>Casos</t>
  </si>
  <si>
    <t>RJ3</t>
  </si>
  <si>
    <t>desviación est</t>
  </si>
  <si>
    <t>desv de la media</t>
  </si>
  <si>
    <t>z</t>
  </si>
  <si>
    <t>peso</t>
  </si>
  <si>
    <t>Lim Sup</t>
  </si>
  <si>
    <t>área z</t>
  </si>
  <si>
    <t>área lim sup</t>
  </si>
  <si>
    <t>c/área</t>
  </si>
  <si>
    <t>b)</t>
  </si>
  <si>
    <t>Lim Inf</t>
  </si>
  <si>
    <t>probabilidad</t>
  </si>
  <si>
    <t>z para 785</t>
  </si>
  <si>
    <t>785 &lt; x &lt; 800</t>
  </si>
  <si>
    <t xml:space="preserve"> x &lt; 700</t>
  </si>
  <si>
    <t>p(x&lt;=785)</t>
  </si>
  <si>
    <t>z para 800</t>
  </si>
  <si>
    <t>p(X&lt;=800)</t>
  </si>
  <si>
    <t>z para 700</t>
  </si>
  <si>
    <t>p(x&lt;=700)</t>
  </si>
  <si>
    <t>gl</t>
  </si>
  <si>
    <t>nivel significancia</t>
  </si>
  <si>
    <t>t</t>
  </si>
  <si>
    <t>EJEMPLO</t>
  </si>
  <si>
    <t>g.l = n-1</t>
  </si>
  <si>
    <t>de tablas</t>
  </si>
  <si>
    <t>EJERCICIO 2</t>
  </si>
  <si>
    <t>n</t>
  </si>
  <si>
    <t>g.l</t>
  </si>
  <si>
    <t>L.I</t>
  </si>
  <si>
    <t>L.S</t>
  </si>
  <si>
    <t>alfa</t>
  </si>
  <si>
    <t>confianza</t>
  </si>
  <si>
    <t>fórmula</t>
  </si>
  <si>
    <t>error marginal</t>
  </si>
  <si>
    <t>No se debe de demandar a la organización ya que se menciona que el desgaste es de 200 por tanto está dentro de los límites</t>
  </si>
  <si>
    <t>c)</t>
  </si>
  <si>
    <t>No sería un caso raro debido que el valor de 210 no es un valor superior por mucho al límite superior</t>
  </si>
  <si>
    <t>niv sigf</t>
  </si>
  <si>
    <t>p</t>
  </si>
  <si>
    <t>media ideal</t>
  </si>
  <si>
    <t>altura</t>
  </si>
  <si>
    <t>error</t>
  </si>
  <si>
    <t>alfa / 2</t>
  </si>
  <si>
    <t>Podemos concluir que respecto a los $325 que se gastan por año se encuentran dentro del intevalo y el valor de p nos indica que solo se gasta poco más de $325.</t>
  </si>
  <si>
    <t>Si se puede llegar a aumentar debido a que la media ideal de 1850 se encuentra dentro de los límites.</t>
  </si>
  <si>
    <t>Podemos observar que los limites inferiores y superiores de cada intervalo varian por muy poco ( 0.5).</t>
  </si>
  <si>
    <t>Se tendría que asumir que no hay más variables que puedan modificar el resultado</t>
  </si>
  <si>
    <t>Podemos observar que el intervalo de caracteres impresos es muy pequeño, por tanto no hay tanto cambio en cada muestra.</t>
  </si>
  <si>
    <t>N</t>
  </si>
  <si>
    <t>Ho</t>
  </si>
  <si>
    <t>µ</t>
  </si>
  <si>
    <t>H1</t>
  </si>
  <si>
    <t>!=1</t>
  </si>
  <si>
    <t>niv sig</t>
  </si>
  <si>
    <t>Como la z calculada es menor a la z de tablas, indica que esta dentro del intervalo. Por tanto la hipótesis no es correcta, la máquina está midiendo correctamente.</t>
  </si>
  <si>
    <t>H0</t>
  </si>
  <si>
    <r>
      <t>µ</t>
    </r>
    <r>
      <rPr>
        <sz val="12.55"/>
        <color theme="1"/>
        <rFont val="Calibri"/>
        <family val="2"/>
      </rPr>
      <t xml:space="preserve"> &lt; 1.5</t>
    </r>
  </si>
  <si>
    <t>µ &gt;= 1.5</t>
  </si>
  <si>
    <t>La hipótesis aceptada es la nula ya que  la t estadística, es mayor a la t</t>
  </si>
  <si>
    <t>si no hay =, es alternativa</t>
  </si>
  <si>
    <t>lo que se dice, es la alternativa</t>
  </si>
  <si>
    <t>Ho =</t>
  </si>
  <si>
    <t>H1 ! =</t>
  </si>
  <si>
    <t>Por tanto se podria establecer que la hipótesis admitida es la hipótesis alternativa debido a la que los valores de tabla y el obtenido de z, no son iguales.</t>
  </si>
  <si>
    <t>H1 &lt;</t>
  </si>
  <si>
    <t>Obteniendo que la hipótesis aceptada es la alternativa considerando el nivel de significancia de 0.01 porque comparando la z de obtenida respecto a la de tablas es mayor.</t>
  </si>
  <si>
    <t>Regresión Lineal</t>
  </si>
  <si>
    <t>x</t>
  </si>
  <si>
    <t>y</t>
  </si>
  <si>
    <t>y = mx + b</t>
  </si>
  <si>
    <t>PENDIENTE</t>
  </si>
  <si>
    <t>HORAS</t>
  </si>
  <si>
    <t>PROMEDIO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</si>
  <si>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</si>
  <si>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</si>
  <si>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</si>
  <si>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</si>
  <si>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</si>
  <si>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Observaciones</t>
  </si>
  <si>
    <t>ANÁLISIS DE VARIANZA</t>
  </si>
  <si>
    <t>Regresión</t>
  </si>
  <si>
    <t>Residuos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</si>
  <si>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</si>
  <si>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</si>
  <si>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</si>
  <si>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</si>
  <si>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</si>
  <si>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</si>
  <si>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</si>
  <si>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</si>
  <si>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</si>
  <si>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</si>
  <si>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</si>
  <si>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</si>
  <si>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</si>
  <si>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CLIENTES</t>
  </si>
  <si>
    <t>VENTAS</t>
  </si>
  <si>
    <t>xi * yi</t>
  </si>
  <si>
    <t>xi^2</t>
  </si>
  <si>
    <t>=</t>
  </si>
  <si>
    <t>(yi - y)^2</t>
  </si>
  <si>
    <t>SCE</t>
  </si>
  <si>
    <t>SCR</t>
  </si>
  <si>
    <t>STC</t>
  </si>
  <si>
    <t>Ŷi</t>
  </si>
  <si>
    <t>(yi - Ŷi)^2</t>
  </si>
  <si>
    <t>(Ŷi - y)^2</t>
  </si>
  <si>
    <t>x1</t>
  </si>
  <si>
    <t>x2</t>
  </si>
  <si>
    <t>x3</t>
  </si>
  <si>
    <t>z^2</t>
  </si>
  <si>
    <t>x^2</t>
  </si>
  <si>
    <t>y^2</t>
  </si>
  <si>
    <t>xz</t>
  </si>
  <si>
    <t>xy</t>
  </si>
  <si>
    <t>yz</t>
  </si>
  <si>
    <t>Edad</t>
  </si>
  <si>
    <t>Peso</t>
  </si>
  <si>
    <t>Altura</t>
  </si>
  <si>
    <t>12a + 643b + 106c = 753</t>
  </si>
  <si>
    <t>643a + 34843b + 5779c = 40830</t>
  </si>
  <si>
    <t>106a + 5779b + 976c = 6796</t>
  </si>
  <si>
    <t>a</t>
  </si>
  <si>
    <t>b</t>
  </si>
  <si>
    <t>c</t>
  </si>
  <si>
    <t>ind</t>
  </si>
  <si>
    <t>inversa</t>
  </si>
  <si>
    <t>z = 3.65 + 0.854x + 1.506y</t>
  </si>
  <si>
    <t>z estimado</t>
  </si>
  <si>
    <t>Suma Cuadrada de Errores</t>
  </si>
  <si>
    <t>coeficientes de correlación</t>
  </si>
  <si>
    <t>/=coeficiente.r2</t>
  </si>
  <si>
    <t>/=Coef.de.correl</t>
  </si>
  <si>
    <t>Una compañía ha extraído los datos del banco de información acerca del número de mermeladas de fresas exportadas a Japón y si ganancia bruta al mes, el cuadro fue el sig: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</si>
  <si>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</si>
  <si>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</si>
  <si>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</si>
  <si>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</si>
  <si>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</si>
  <si>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</si>
  <si>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</si>
  <si>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</si>
  <si>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</si>
  <si>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</si>
  <si>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</si>
  <si>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N° Cajas (miles)</t>
  </si>
  <si>
    <t>Ganancias (miles $)</t>
  </si>
  <si>
    <t>Variable X 1</t>
  </si>
  <si>
    <t>En la siguiente tabla se relaciona la información correspondiente al primer semestre del año.</t>
  </si>
  <si>
    <t>Fórmula Excel</t>
  </si>
  <si>
    <t>Existe una correlación muy alta entre la variable independiente del número de cajas y la dependiente de las ganancias</t>
  </si>
  <si>
    <t>Donde X1 es horas de trabajo (cientos), X2 horas de máquina, y X3 gastos indirectos de producción(cientos de miles de pesos)</t>
  </si>
  <si>
    <t>X1</t>
  </si>
  <si>
    <t>X2</t>
  </si>
  <si>
    <t>X3</t>
  </si>
  <si>
    <t xml:space="preserve">El jefe de producción de una empresa manufacturera desea estimar los gastos indirectos del producto con base en el número de horas de trabajo y en el número de horas máquina. </t>
  </si>
  <si>
    <t>Variable X 2</t>
  </si>
  <si>
    <t>Coeficiente de Correlación</t>
  </si>
  <si>
    <t>Si tenemos 50hr de trabajo y se emplean 22 horas máquina, ¿Cuáles serán los gastos indirectos asociados?</t>
  </si>
  <si>
    <t>Coeficiente de correlación lineal</t>
  </si>
  <si>
    <t>Representa el 90% de variabilidad de las cajas con respecto a su ganancia positiva</t>
  </si>
  <si>
    <t>Las dos variables (horas de trabajo y horas máquina) impactan de la misma manera (78%) a los gastos indirectos</t>
  </si>
  <si>
    <t>Coeficientes de correlación muy alta positiva entre la variable dependiente de gastos indirectos de producción y las independientes de horas de trabajo y horas máquina</t>
  </si>
  <si>
    <t>y = -18.27 + 0.724 x1 + 0.903 x2</t>
  </si>
  <si>
    <t>Horas</t>
  </si>
  <si>
    <t>y = 0.5213 x + 2.9643</t>
  </si>
  <si>
    <t>Variable X 3</t>
  </si>
  <si>
    <t>Modelo Regresión Múltiple</t>
  </si>
  <si>
    <t>Est (x1)</t>
  </si>
  <si>
    <t>Qui(x2)</t>
  </si>
  <si>
    <t>Geo (x3)</t>
  </si>
  <si>
    <t>y = -2.09 + 0.54x1 + 0.11x2 + 0.11x3</t>
  </si>
  <si>
    <t>Modelo Regresión Lineal</t>
  </si>
  <si>
    <t>d)</t>
  </si>
  <si>
    <t>e)</t>
  </si>
  <si>
    <t xml:space="preserve">Geo </t>
  </si>
  <si>
    <t>Horas (x3)</t>
  </si>
  <si>
    <t>y = 8.04 + 1.41 x1 - 0.06 x2 + 2.87 x3</t>
  </si>
  <si>
    <t>El coeficiente de correlación lineal entre las variables de quimica y horas es de correlación muy alta al ser mayor a 0.7 lo que nos indica una estrecha relación entre las variables</t>
  </si>
  <si>
    <t xml:space="preserve">Modelo </t>
  </si>
  <si>
    <t>PPB</t>
  </si>
  <si>
    <t>a) Diagrama de Dispersión</t>
  </si>
  <si>
    <t>b) ¿Cuál es la interpretación de b1?</t>
  </si>
  <si>
    <t>1) Se obtuvieron las siguientes concentraciones promedio por año de SO2 en ppb (parts per billion):</t>
  </si>
  <si>
    <t>c) Asumiendo que los datos mantengan un comportamiento similar en los próximos años, use un modelo de regresión lineal simple para estimar la concentración media del SO2  en el año 2021.</t>
  </si>
  <si>
    <t>y = 3013.53 - 1.49 x1</t>
  </si>
  <si>
    <t>Año (x1)</t>
  </si>
  <si>
    <t>Predicción para 2021</t>
  </si>
  <si>
    <t>Modelo</t>
  </si>
  <si>
    <t>Con base en los datos registrados se generó un modelo de regresión lineal que nos permite predecir que para el año 2021 la concentración de SO2 será de 2.24 ppb.</t>
  </si>
  <si>
    <t>y = 3013.53 - 1.49 X1</t>
  </si>
  <si>
    <t>d) Obtenga el coeficiente de correlación de Pearson entre ambas variables y haga una interpretación de la misma, ¿es congruente con lo obtenido en a)? Explique.</t>
  </si>
  <si>
    <r>
      <t>e) ¿Qué proporción de la variación </t>
    </r>
    <r>
      <rPr>
        <i/>
        <sz val="11"/>
        <color theme="0"/>
        <rFont val="Arial"/>
        <family val="2"/>
      </rPr>
      <t>y</t>
    </r>
    <r>
      <rPr>
        <sz val="11"/>
        <color theme="0"/>
        <rFont val="Arial"/>
        <family val="2"/>
      </rPr>
      <t> observada se explica por el modelo de regresión lineal simple?</t>
    </r>
  </si>
  <si>
    <t>Coeficiente R^2</t>
  </si>
  <si>
    <t>La proporción representada por el modelo es del 86.6% de variación en la concentración media de SO2 la cual se obtiene con base en los datos registrados de varios años.</t>
  </si>
  <si>
    <t>2) Los siguientes datos se refieren la concentración de SO2 tiempo (t), temperatura (T), humedad relativa (HR) y presión atmosférica (P) en los últimos 12 meses:</t>
  </si>
  <si>
    <t>Concentración mensual promedio (ppb)</t>
  </si>
  <si>
    <t>Tiempo</t>
  </si>
  <si>
    <t>Temperatura</t>
  </si>
  <si>
    <t>Humedad relativa</t>
  </si>
  <si>
    <t>Presión Atmosférica</t>
  </si>
  <si>
    <t>Variable X 4</t>
  </si>
  <si>
    <r>
      <t>a) Asumiendo que la concentración mantenga un comportamiento similar, ajuste un modelo  de regresión lineal múltiple para estimar la concentración de SO</t>
    </r>
    <r>
      <rPr>
        <sz val="9"/>
        <color theme="0"/>
        <rFont val="Arial"/>
        <family val="2"/>
      </rPr>
      <t>2</t>
    </r>
    <r>
      <rPr>
        <sz val="12"/>
        <color theme="0"/>
        <rFont val="Arial"/>
        <family val="2"/>
      </rPr>
      <t> en los próximos meses.</t>
    </r>
  </si>
  <si>
    <t>Modelo Regresión Lineal Múltiple</t>
  </si>
  <si>
    <t>y = -34.610 - 0.328X1 + 0.051X2 + 0.006X3 + 0.044X4</t>
  </si>
  <si>
    <t>X4</t>
  </si>
  <si>
    <t>c) ¿Cuál de las variables explicativas es la de mayor relevancia en el modelo?</t>
  </si>
  <si>
    <r>
      <t>b) ¿Cuál es la interpretación de </t>
    </r>
    <r>
      <rPr>
        <i/>
        <sz val="12"/>
        <color theme="0"/>
        <rFont val="Arial"/>
        <family val="2"/>
      </rPr>
      <t>b</t>
    </r>
    <r>
      <rPr>
        <vertAlign val="subscript"/>
        <sz val="9"/>
        <color theme="0"/>
        <rFont val="Arial"/>
        <family val="2"/>
      </rPr>
      <t>1</t>
    </r>
    <r>
      <rPr>
        <sz val="12"/>
        <color theme="0"/>
        <rFont val="Arial"/>
        <family val="2"/>
      </rPr>
      <t>?</t>
    </r>
  </si>
  <si>
    <t>Es el coeficiente de significancia de la variable independiente (año) con respecto a la variable dependiente (concentración media de SO2), es decir, indica con que medida el valor de la concentración decremente con el incremento en los años.</t>
  </si>
  <si>
    <t>Podemos observar como el coeficiente de correlación indica una gran relación negativa (es decir, que disminuye) entre nuestras variables, resaltando el hecho del negativo debido a que el índice de SO2 con el paso de los años ha ido disminuyendo conceptos que podemos observar en el diagrama de dispersión.</t>
  </si>
  <si>
    <t>Nos indica que inicialmente hay un decremeto con respecto a la variable independiente de eñ tiempo, sin embargo conforme van aumentando las otras variables de temperatura, humedad y presión, la concentración que es la variable dependiente, irá incrementando en distintas proporciones según cada variable.</t>
  </si>
  <si>
    <t>La variable con mayor impacto en el modelo es el tiempo debido a que es la que posee un mayor coeficiente considerando su valor absoluto en comparación con las demás.</t>
  </si>
  <si>
    <t>Series de Tiempo</t>
  </si>
  <si>
    <t>semana</t>
  </si>
  <si>
    <t>ventas</t>
  </si>
  <si>
    <t>Pronóstico PM</t>
  </si>
  <si>
    <t>Error al cuadrado</t>
  </si>
  <si>
    <t>Promedios Móviles Ponderados</t>
  </si>
  <si>
    <t>?</t>
  </si>
  <si>
    <t>Prom Error</t>
  </si>
  <si>
    <t>Se elige el modelo del promedio móvil pnderado con base en 4 datos ya que de esta forma obtenemos un promedio de los errores cuadrados de 10.57</t>
  </si>
  <si>
    <t>mes</t>
  </si>
  <si>
    <t>precio por onza</t>
  </si>
  <si>
    <t>PME</t>
  </si>
  <si>
    <t>Demanda</t>
  </si>
  <si>
    <t>Por tanto, con base en la suma de mínimos cuadrados podemos comparar las tres predicciones y llegar a la conclusión que la predicción realizada en el inciso a es el método con el menor coeficiente de 9.18 realizando el análisis con el promedio móvil de 3 años.</t>
  </si>
  <si>
    <t>EJERCICIO 1</t>
  </si>
  <si>
    <t>El comportamiento de la precipitación y la humedad relativa durante el año 2023, para una Cuenca  en la costa del Pacífico se muestra en la siguiente tabla:</t>
  </si>
  <si>
    <t>MESES</t>
  </si>
  <si>
    <t>PRECIPITACIÓN (mm)</t>
  </si>
  <si>
    <t>HUMEDAD RELATIVA (%)</t>
  </si>
  <si>
    <t>Aplica los métodos de promedios móviles para tener gráficas mas suaves y hacer pronósticos</t>
  </si>
  <si>
    <t>para el siguiente periodo para la humedad relariva y la precipitación, (enero,2015)</t>
  </si>
  <si>
    <t>Una compañía presenta en el siguiente tabulado el reporte de ventas correspondiente al año 2009</t>
  </si>
  <si>
    <t>Teniendo en cuenta los datos anteriores, se debe calcular un pronóstico mediante la técnica de Promedio Móvil utilizando:</t>
  </si>
  <si>
    <t>MES</t>
  </si>
  <si>
    <t>VENTAS REALES</t>
  </si>
  <si>
    <t>PRONOSTICO ULTIMOS 2 PERIODOS</t>
  </si>
  <si>
    <t>PRONOSTICO ULTIMOS 3 PERIODOS</t>
  </si>
  <si>
    <t>PRONOSTICO ULTIMOS 4 PERIODOS</t>
  </si>
  <si>
    <t>PRONOSTICO ULTIMOS 5 PERIODOS</t>
  </si>
  <si>
    <t>PRONOSTICO ULTIMOS 6 PERIODOS</t>
  </si>
  <si>
    <t>Noviembre</t>
  </si>
  <si>
    <t>Diciembre</t>
  </si>
  <si>
    <t>¿Cuál es la mejor opción?</t>
  </si>
  <si>
    <t>Promedio Móvil</t>
  </si>
  <si>
    <t>Promedio</t>
  </si>
  <si>
    <t>Pronóstico PM 2</t>
  </si>
  <si>
    <t>Pronóstico PM 4</t>
  </si>
  <si>
    <t>Pronóstico PM 5</t>
  </si>
  <si>
    <t>La mejor predicción se realizó con el pronóstico respecto al promedio ponderado de 2 periodos, y se puede llegar a esta conclusión debido a que el promedio del cuadrado de sus errores, es el menor promedio comparado con los demás análisis</t>
  </si>
  <si>
    <t>Portafolio de Evidencias</t>
  </si>
  <si>
    <t>Análisis Estadístico</t>
  </si>
  <si>
    <t>Joanna Nicole Uriostegui Magaña</t>
  </si>
  <si>
    <t>A01711853</t>
  </si>
  <si>
    <t>Frecuencias y Distribuciones</t>
  </si>
  <si>
    <t>Tarea MTC y MD</t>
  </si>
  <si>
    <t>Desviación Estándar y Media</t>
  </si>
  <si>
    <t>Grados de Libertad</t>
  </si>
  <si>
    <t>Tarea Distribución de Probabilidades</t>
  </si>
  <si>
    <t>Límites de Confianza</t>
  </si>
  <si>
    <t>Prueba de Hipótesis</t>
  </si>
  <si>
    <t>Quizz</t>
  </si>
  <si>
    <t>Correlación y Regresión</t>
  </si>
  <si>
    <t>Valeria Rivas Orta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</si>
</sst>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%"/>
    <numFmt numFmtId="166" formatCode="0.0"/>
    <numFmt numFmtId="167" formatCode="0.000"/>
    <numFmt numFmtId="168" formatCode="0.0%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onsolas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.55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0"/>
      <name val="Arial"/>
      <family val="2"/>
    </font>
    <font>
      <sz val="11"/>
      <color theme="1"/>
      <name val="Arial"/>
      <family val="2"/>
    </font>
    <font>
      <sz val="12"/>
      <color theme="0"/>
      <name val="Arial"/>
      <family val="2"/>
    </font>
    <font>
      <i/>
      <sz val="12"/>
      <color theme="0"/>
      <name val="Arial"/>
      <family val="2"/>
    </font>
    <font>
      <i/>
      <sz val="11"/>
      <color theme="0"/>
      <name val="Arial"/>
      <family val="2"/>
    </font>
    <font>
      <sz val="9"/>
      <color theme="0"/>
      <name val="Arial"/>
      <family val="2"/>
    </font>
    <font>
      <b/>
      <sz val="12"/>
      <color theme="1"/>
      <name val="Calibri"/>
      <family val="2"/>
      <scheme val="minor"/>
    </font>
    <font>
      <vertAlign val="subscript"/>
      <sz val="9"/>
      <color theme="0"/>
      <name val="Arial"/>
      <family val="2"/>
    </font>
    <font>
      <sz val="12"/>
      <color theme="0"/>
      <name val="Calibri"/>
      <family val="2"/>
      <scheme val="minor"/>
    </font>
    <font>
      <sz val="24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2C2F34"/>
      <name val="Segoe UI"/>
      <family val="2"/>
    </font>
    <font>
      <sz val="9"/>
      <color theme="1"/>
      <name val="Calibri"/>
      <family val="2"/>
      <scheme val="minor"/>
    </font>
    <font>
      <sz val="11"/>
      <color rgb="FF003300"/>
      <name val="Segoe UI"/>
      <family val="2"/>
    </font>
    <font>
      <sz val="11"/>
      <color rgb="FF2C2F34"/>
      <name val="Segoe UI"/>
      <family val="2"/>
    </font>
    <font>
      <b/>
      <sz val="11"/>
      <color rgb="FFFF0000"/>
      <name val="Segoe UI"/>
      <family val="2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6"/>
      <color theme="0"/>
      <name val="Arial"/>
      <family val="2"/>
    </font>
    <font>
      <sz val="26"/>
      <color theme="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548235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B023A"/>
      </left>
      <right style="medium">
        <color rgb="FF0B023A"/>
      </right>
      <top style="medium">
        <color rgb="FF0B023A"/>
      </top>
      <bottom style="medium">
        <color rgb="FF0B023A"/>
      </bottom>
      <diagonal/>
    </border>
    <border>
      <left style="medium">
        <color rgb="FF0B023A"/>
      </left>
      <right style="medium">
        <color rgb="FF0B023A"/>
      </right>
      <top style="medium">
        <color rgb="FF0B023A"/>
      </top>
      <bottom/>
      <diagonal/>
    </border>
    <border>
      <left style="medium">
        <color rgb="FF0B023A"/>
      </left>
      <right/>
      <top style="medium">
        <color rgb="FF0B023A"/>
      </top>
      <bottom style="medium">
        <color rgb="FF0B023A"/>
      </bottom>
      <diagonal/>
    </border>
    <border>
      <left style="medium">
        <color rgb="FF0B023A"/>
      </left>
      <right/>
      <top style="medium">
        <color rgb="FF0B023A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5">
    <xf numFmtId="0" fontId="0" fillId="0" borderId="0" xfId="0"/>
    <xf numFmtId="0" fontId="0" fillId="0" borderId="0" xfId="0" applyAlignment="1">
      <alignment horizontal="center" vertical="center" wrapText="1"/>
    </xf>
    <xf numFmtId="164" fontId="0" fillId="0" borderId="0" xfId="0" applyNumberFormat="1"/>
    <xf numFmtId="9" fontId="0" fillId="0" borderId="0" xfId="1" applyFont="1"/>
    <xf numFmtId="165" fontId="0" fillId="0" borderId="0" xfId="1" applyNumberFormat="1" applyFont="1"/>
    <xf numFmtId="165" fontId="0" fillId="0" borderId="0" xfId="1" applyNumberFormat="1" applyFont="1" applyAlignment="1">
      <alignment horizontal="center" vertical="center" wrapText="1"/>
    </xf>
    <xf numFmtId="0" fontId="0" fillId="2" borderId="1" xfId="0" applyFill="1" applyBorder="1"/>
    <xf numFmtId="0" fontId="0" fillId="2" borderId="2" xfId="0" applyFill="1" applyBorder="1"/>
    <xf numFmtId="0" fontId="0" fillId="3" borderId="1" xfId="0" applyFill="1" applyBorder="1"/>
    <xf numFmtId="164" fontId="0" fillId="3" borderId="1" xfId="0" applyNumberFormat="1" applyFill="1" applyBorder="1"/>
    <xf numFmtId="0" fontId="3" fillId="0" borderId="4" xfId="0" applyFont="1" applyBorder="1" applyAlignment="1">
      <alignment horizontal="centerContinuous"/>
    </xf>
    <xf numFmtId="0" fontId="0" fillId="4" borderId="1" xfId="0" applyFill="1" applyBorder="1"/>
    <xf numFmtId="0" fontId="0" fillId="0" borderId="1" xfId="0" applyBorder="1"/>
    <xf numFmtId="164" fontId="0" fillId="0" borderId="1" xfId="0" applyNumberFormat="1" applyBorder="1"/>
    <xf numFmtId="0" fontId="0" fillId="0" borderId="5" xfId="0" applyBorder="1"/>
    <xf numFmtId="1" fontId="0" fillId="0" borderId="1" xfId="0" applyNumberFormat="1" applyBorder="1"/>
    <xf numFmtId="166" fontId="0" fillId="0" borderId="1" xfId="0" applyNumberFormat="1" applyBorder="1"/>
    <xf numFmtId="167" fontId="0" fillId="0" borderId="1" xfId="0" applyNumberFormat="1" applyBorder="1"/>
    <xf numFmtId="0" fontId="0" fillId="4" borderId="1" xfId="0" applyFill="1" applyBorder="1" applyAlignment="1">
      <alignment horizontal="center"/>
    </xf>
    <xf numFmtId="0" fontId="0" fillId="0" borderId="0" xfId="0" applyFont="1"/>
    <xf numFmtId="0" fontId="0" fillId="5" borderId="0" xfId="0" applyFill="1"/>
    <xf numFmtId="0" fontId="0" fillId="5" borderId="6" xfId="0" applyFill="1" applyBorder="1"/>
    <xf numFmtId="0" fontId="0" fillId="0" borderId="0" xfId="0" applyFill="1" applyBorder="1" applyAlignment="1"/>
    <xf numFmtId="0" fontId="0" fillId="0" borderId="5" xfId="0" applyFill="1" applyBorder="1" applyAlignment="1"/>
    <xf numFmtId="0" fontId="3" fillId="0" borderId="4" xfId="0" applyFont="1" applyFill="1" applyBorder="1" applyAlignment="1">
      <alignment horizontal="centerContinuous"/>
    </xf>
    <xf numFmtId="2" fontId="0" fillId="0" borderId="1" xfId="0" applyNumberFormat="1" applyBorder="1"/>
    <xf numFmtId="2" fontId="6" fillId="0" borderId="1" xfId="0" applyNumberFormat="1" applyFont="1" applyBorder="1"/>
    <xf numFmtId="0" fontId="7" fillId="0" borderId="0" xfId="0" applyFont="1"/>
    <xf numFmtId="164" fontId="0" fillId="3" borderId="1" xfId="0" applyNumberFormat="1" applyFont="1" applyFill="1" applyBorder="1"/>
    <xf numFmtId="0" fontId="0" fillId="4" borderId="0" xfId="0" applyFill="1"/>
    <xf numFmtId="1" fontId="6" fillId="0" borderId="1" xfId="0" applyNumberFormat="1" applyFont="1" applyBorder="1"/>
    <xf numFmtId="0" fontId="8" fillId="0" borderId="0" xfId="0" applyFont="1" applyAlignment="1">
      <alignment vertical="center"/>
    </xf>
    <xf numFmtId="0" fontId="4" fillId="5" borderId="0" xfId="0" applyFont="1" applyFill="1" applyAlignment="1">
      <alignment horizontal="center"/>
    </xf>
    <xf numFmtId="0" fontId="0" fillId="3" borderId="0" xfId="0" applyFill="1" applyBorder="1"/>
    <xf numFmtId="0" fontId="0" fillId="3" borderId="7" xfId="0" applyFill="1" applyBorder="1"/>
    <xf numFmtId="0" fontId="0" fillId="5" borderId="2" xfId="0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9" fillId="6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right" vertical="center"/>
    </xf>
    <xf numFmtId="9" fontId="0" fillId="0" borderId="1" xfId="1" applyFont="1" applyBorder="1" applyAlignment="1">
      <alignment horizontal="right" vertical="center"/>
    </xf>
    <xf numFmtId="2" fontId="0" fillId="0" borderId="1" xfId="1" applyNumberFormat="1" applyFont="1" applyBorder="1" applyAlignment="1">
      <alignment horizontal="right" vertical="center"/>
    </xf>
    <xf numFmtId="0" fontId="9" fillId="6" borderId="1" xfId="0" applyFont="1" applyFill="1" applyBorder="1" applyAlignment="1">
      <alignment horizontal="left" vertical="center"/>
    </xf>
    <xf numFmtId="0" fontId="9" fillId="7" borderId="1" xfId="0" applyFont="1" applyFill="1" applyBorder="1" applyAlignment="1">
      <alignment horizontal="left" vertical="center"/>
    </xf>
    <xf numFmtId="167" fontId="0" fillId="0" borderId="0" xfId="0" applyNumberFormat="1"/>
    <xf numFmtId="0" fontId="9" fillId="7" borderId="10" xfId="0" applyFont="1" applyFill="1" applyBorder="1" applyAlignment="1">
      <alignment horizontal="left" vertical="center"/>
    </xf>
    <xf numFmtId="167" fontId="0" fillId="0" borderId="1" xfId="1" applyNumberFormat="1" applyFont="1" applyBorder="1" applyAlignment="1">
      <alignment horizontal="right" vertical="center"/>
    </xf>
    <xf numFmtId="0" fontId="9" fillId="6" borderId="11" xfId="0" applyFont="1" applyFill="1" applyBorder="1" applyAlignment="1">
      <alignment horizontal="right" vertical="center"/>
    </xf>
    <xf numFmtId="0" fontId="0" fillId="0" borderId="1" xfId="0" applyFill="1" applyBorder="1" applyAlignment="1">
      <alignment horizontal="right" vertical="center"/>
    </xf>
    <xf numFmtId="10" fontId="0" fillId="0" borderId="1" xfId="1" applyNumberFormat="1" applyFont="1" applyBorder="1" applyAlignment="1">
      <alignment horizontal="right" vertical="center"/>
    </xf>
    <xf numFmtId="164" fontId="0" fillId="0" borderId="1" xfId="1" applyNumberFormat="1" applyFont="1" applyBorder="1" applyAlignment="1">
      <alignment horizontal="right" vertical="center"/>
    </xf>
    <xf numFmtId="10" fontId="0" fillId="0" borderId="1" xfId="1" applyNumberFormat="1" applyFont="1" applyBorder="1" applyAlignment="1">
      <alignment horizontal="center" vertical="center"/>
    </xf>
    <xf numFmtId="0" fontId="10" fillId="7" borderId="1" xfId="0" applyFont="1" applyFill="1" applyBorder="1" applyAlignment="1">
      <alignment horizontal="right"/>
    </xf>
    <xf numFmtId="0" fontId="10" fillId="7" borderId="1" xfId="0" applyFont="1" applyFill="1" applyBorder="1"/>
    <xf numFmtId="0" fontId="10" fillId="7" borderId="1" xfId="0" applyFont="1" applyFill="1" applyBorder="1" applyAlignment="1">
      <alignment horizontal="right" wrapText="1"/>
    </xf>
    <xf numFmtId="0" fontId="10" fillId="7" borderId="1" xfId="0" applyFont="1" applyFill="1" applyBorder="1" applyAlignment="1">
      <alignment horizontal="center"/>
    </xf>
    <xf numFmtId="9" fontId="0" fillId="0" borderId="1" xfId="0" applyNumberFormat="1" applyBorder="1"/>
    <xf numFmtId="9" fontId="10" fillId="7" borderId="1" xfId="0" applyNumberFormat="1" applyFont="1" applyFill="1" applyBorder="1" applyAlignment="1"/>
    <xf numFmtId="2" fontId="0" fillId="0" borderId="1" xfId="1" applyNumberFormat="1" applyFont="1" applyBorder="1" applyAlignment="1"/>
    <xf numFmtId="0" fontId="10" fillId="7" borderId="1" xfId="0" applyFont="1" applyFill="1" applyBorder="1" applyAlignment="1"/>
    <xf numFmtId="0" fontId="10" fillId="8" borderId="1" xfId="0" applyFont="1" applyFill="1" applyBorder="1"/>
    <xf numFmtId="9" fontId="10" fillId="8" borderId="1" xfId="1" applyFont="1" applyFill="1" applyBorder="1"/>
    <xf numFmtId="168" fontId="10" fillId="8" borderId="1" xfId="1" applyNumberFormat="1" applyFont="1" applyFill="1" applyBorder="1"/>
    <xf numFmtId="0" fontId="0" fillId="0" borderId="1" xfId="0" applyNumberFormat="1" applyBorder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1" xfId="0" applyFill="1" applyBorder="1"/>
    <xf numFmtId="0" fontId="6" fillId="0" borderId="1" xfId="0" applyFont="1" applyFill="1" applyBorder="1"/>
    <xf numFmtId="0" fontId="10" fillId="9" borderId="1" xfId="0" applyFont="1" applyFill="1" applyBorder="1"/>
    <xf numFmtId="0" fontId="0" fillId="0" borderId="1" xfId="0" quotePrefix="1" applyBorder="1"/>
    <xf numFmtId="0" fontId="0" fillId="2" borderId="1" xfId="0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0" fillId="2" borderId="0" xfId="0" applyFill="1" applyBorder="1" applyAlignment="1"/>
    <xf numFmtId="0" fontId="3" fillId="2" borderId="4" xfId="0" applyFont="1" applyFill="1" applyBorder="1" applyAlignment="1">
      <alignment horizontal="center"/>
    </xf>
    <xf numFmtId="0" fontId="0" fillId="2" borderId="5" xfId="0" applyFill="1" applyBorder="1" applyAlignment="1"/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0" borderId="16" xfId="0" applyBorder="1"/>
    <xf numFmtId="0" fontId="0" fillId="0" borderId="17" xfId="0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2" borderId="21" xfId="0" applyFill="1" applyBorder="1"/>
    <xf numFmtId="0" fontId="0" fillId="0" borderId="7" xfId="0" applyBorder="1"/>
    <xf numFmtId="0" fontId="0" fillId="3" borderId="22" xfId="0" applyFill="1" applyBorder="1"/>
    <xf numFmtId="0" fontId="0" fillId="10" borderId="0" xfId="0" applyFill="1" applyBorder="1" applyAlignment="1"/>
    <xf numFmtId="0" fontId="3" fillId="10" borderId="4" xfId="0" applyFont="1" applyFill="1" applyBorder="1" applyAlignment="1">
      <alignment horizontal="center"/>
    </xf>
    <xf numFmtId="0" fontId="0" fillId="10" borderId="5" xfId="0" applyFill="1" applyBorder="1" applyAlignment="1"/>
    <xf numFmtId="0" fontId="12" fillId="2" borderId="13" xfId="0" applyFont="1" applyFill="1" applyBorder="1"/>
    <xf numFmtId="0" fontId="0" fillId="11" borderId="1" xfId="0" applyFill="1" applyBorder="1"/>
    <xf numFmtId="0" fontId="0" fillId="12" borderId="0" xfId="0" applyFill="1"/>
    <xf numFmtId="0" fontId="0" fillId="12" borderId="1" xfId="0" applyFill="1" applyBorder="1"/>
    <xf numFmtId="0" fontId="0" fillId="12" borderId="0" xfId="0" applyFill="1" applyBorder="1" applyAlignment="1"/>
    <xf numFmtId="0" fontId="0" fillId="0" borderId="0" xfId="0" applyAlignment="1"/>
    <xf numFmtId="0" fontId="13" fillId="0" borderId="0" xfId="0" applyFont="1"/>
    <xf numFmtId="0" fontId="0" fillId="13" borderId="1" xfId="0" applyFill="1" applyBorder="1"/>
    <xf numFmtId="0" fontId="15" fillId="0" borderId="0" xfId="0" applyFont="1"/>
    <xf numFmtId="0" fontId="16" fillId="0" borderId="0" xfId="0" applyFont="1"/>
    <xf numFmtId="0" fontId="16" fillId="13" borderId="1" xfId="0" applyFont="1" applyFill="1" applyBorder="1"/>
    <xf numFmtId="0" fontId="18" fillId="0" borderId="0" xfId="0" applyFont="1"/>
    <xf numFmtId="0" fontId="18" fillId="0" borderId="1" xfId="0" applyFont="1" applyBorder="1"/>
    <xf numFmtId="0" fontId="17" fillId="14" borderId="1" xfId="0" applyFont="1" applyFill="1" applyBorder="1" applyAlignment="1">
      <alignment horizontal="right"/>
    </xf>
    <xf numFmtId="0" fontId="19" fillId="14" borderId="1" xfId="0" applyFont="1" applyFill="1" applyBorder="1" applyAlignment="1">
      <alignment horizontal="center"/>
    </xf>
    <xf numFmtId="0" fontId="17" fillId="14" borderId="1" xfId="0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0" fontId="18" fillId="0" borderId="0" xfId="0" applyFont="1" applyAlignment="1">
      <alignment horizontal="center" wrapText="1"/>
    </xf>
    <xf numFmtId="0" fontId="18" fillId="16" borderId="0" xfId="0" applyFont="1" applyFill="1" applyAlignment="1">
      <alignment horizontal="center" wrapText="1"/>
    </xf>
    <xf numFmtId="0" fontId="17" fillId="14" borderId="1" xfId="0" applyFont="1" applyFill="1" applyBorder="1"/>
    <xf numFmtId="0" fontId="18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0" fillId="17" borderId="1" xfId="0" applyFont="1" applyFill="1" applyBorder="1"/>
    <xf numFmtId="0" fontId="25" fillId="17" borderId="1" xfId="0" applyFont="1" applyFill="1" applyBorder="1"/>
    <xf numFmtId="0" fontId="0" fillId="15" borderId="1" xfId="0" applyFill="1" applyBorder="1"/>
    <xf numFmtId="0" fontId="25" fillId="17" borderId="1" xfId="0" applyFont="1" applyFill="1" applyBorder="1" applyAlignment="1">
      <alignment wrapText="1"/>
    </xf>
    <xf numFmtId="0" fontId="0" fillId="15" borderId="0" xfId="0" applyFill="1"/>
    <xf numFmtId="17" fontId="0" fillId="0" borderId="1" xfId="0" applyNumberFormat="1" applyBorder="1"/>
    <xf numFmtId="17" fontId="0" fillId="15" borderId="1" xfId="0" applyNumberFormat="1" applyFill="1" applyBorder="1"/>
    <xf numFmtId="0" fontId="27" fillId="18" borderId="0" xfId="0" applyFont="1" applyFill="1"/>
    <xf numFmtId="0" fontId="0" fillId="18" borderId="0" xfId="0" applyFill="1"/>
    <xf numFmtId="0" fontId="28" fillId="0" borderId="0" xfId="0" applyFont="1"/>
    <xf numFmtId="0" fontId="29" fillId="0" borderId="0" xfId="0" applyFont="1"/>
    <xf numFmtId="0" fontId="30" fillId="0" borderId="0" xfId="0" applyFont="1" applyAlignment="1">
      <alignment wrapText="1"/>
    </xf>
    <xf numFmtId="0" fontId="33" fillId="18" borderId="0" xfId="0" applyFont="1" applyFill="1" applyAlignment="1">
      <alignment horizontal="center" vertical="center" wrapText="1"/>
    </xf>
    <xf numFmtId="17" fontId="0" fillId="0" borderId="0" xfId="0" applyNumberFormat="1"/>
    <xf numFmtId="0" fontId="13" fillId="19" borderId="1" xfId="0" applyFont="1" applyFill="1" applyBorder="1"/>
    <xf numFmtId="17" fontId="13" fillId="3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Border="1"/>
    <xf numFmtId="0" fontId="13" fillId="19" borderId="12" xfId="0" applyFont="1" applyFill="1" applyBorder="1"/>
    <xf numFmtId="0" fontId="32" fillId="3" borderId="1" xfId="0" applyFont="1" applyFill="1" applyBorder="1" applyAlignment="1">
      <alignment horizontal="center" vertical="center" wrapText="1"/>
    </xf>
    <xf numFmtId="0" fontId="13" fillId="19" borderId="1" xfId="0" applyFont="1" applyFill="1" applyBorder="1" applyAlignment="1">
      <alignment wrapText="1"/>
    </xf>
    <xf numFmtId="0" fontId="31" fillId="3" borderId="23" xfId="0" applyFont="1" applyFill="1" applyBorder="1" applyAlignment="1">
      <alignment horizontal="center" vertical="center" wrapText="1"/>
    </xf>
    <xf numFmtId="0" fontId="31" fillId="3" borderId="2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0" fontId="32" fillId="3" borderId="25" xfId="0" applyFont="1" applyFill="1" applyBorder="1" applyAlignment="1">
      <alignment horizontal="center" vertical="center" wrapText="1"/>
    </xf>
    <xf numFmtId="0" fontId="32" fillId="3" borderId="24" xfId="0" applyFont="1" applyFill="1" applyBorder="1" applyAlignment="1">
      <alignment horizontal="center" vertical="center" wrapText="1"/>
    </xf>
    <xf numFmtId="0" fontId="32" fillId="3" borderId="26" xfId="0" applyFont="1" applyFill="1" applyBorder="1" applyAlignment="1">
      <alignment horizontal="center" vertical="center" wrapText="1"/>
    </xf>
    <xf numFmtId="14" fontId="0" fillId="0" borderId="0" xfId="0" applyNumberFormat="1"/>
    <xf numFmtId="0" fontId="14" fillId="0" borderId="0" xfId="0" applyFont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 applyAlignment="1">
      <alignment horizontal="center"/>
    </xf>
    <xf numFmtId="0" fontId="10" fillId="23" borderId="1" xfId="0" applyFont="1" applyFill="1" applyBorder="1"/>
    <xf numFmtId="0" fontId="10" fillId="24" borderId="1" xfId="0" applyFont="1" applyFill="1" applyBorder="1" applyAlignment="1">
      <alignment horizontal="right"/>
    </xf>
    <xf numFmtId="0" fontId="26" fillId="26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37" fillId="26" borderId="0" xfId="0" applyFont="1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35" fillId="2" borderId="0" xfId="0" applyFont="1" applyFill="1" applyAlignment="1">
      <alignment horizontal="center"/>
    </xf>
    <xf numFmtId="0" fontId="0" fillId="4" borderId="9" xfId="0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9" fillId="6" borderId="7" xfId="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/>
    </xf>
    <xf numFmtId="9" fontId="9" fillId="7" borderId="7" xfId="1" applyFont="1" applyFill="1" applyBorder="1" applyAlignment="1">
      <alignment horizontal="center" vertical="center"/>
    </xf>
    <xf numFmtId="9" fontId="9" fillId="7" borderId="8" xfId="1" applyFont="1" applyFill="1" applyBorder="1" applyAlignment="1">
      <alignment horizontal="center" vertical="center"/>
    </xf>
    <xf numFmtId="0" fontId="26" fillId="25" borderId="0" xfId="0" applyFont="1" applyFill="1" applyAlignment="1">
      <alignment horizontal="center"/>
    </xf>
    <xf numFmtId="0" fontId="9" fillId="7" borderId="1" xfId="0" applyFont="1" applyFill="1" applyBorder="1" applyAlignment="1">
      <alignment horizontal="center" vertical="center"/>
    </xf>
    <xf numFmtId="0" fontId="9" fillId="6" borderId="11" xfId="0" applyFont="1" applyFill="1" applyBorder="1" applyAlignment="1">
      <alignment horizontal="right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2" xfId="1" applyNumberFormat="1" applyFont="1" applyBorder="1" applyAlignment="1">
      <alignment horizontal="center" vertical="center"/>
    </xf>
    <xf numFmtId="0" fontId="9" fillId="6" borderId="1" xfId="0" applyFont="1" applyFill="1" applyBorder="1" applyAlignment="1">
      <alignment horizontal="left" vertical="center"/>
    </xf>
    <xf numFmtId="9" fontId="0" fillId="0" borderId="1" xfId="1" applyFont="1" applyBorder="1" applyAlignment="1">
      <alignment horizontal="right" vertical="center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26" fillId="24" borderId="0" xfId="0" applyFont="1" applyFill="1" applyAlignment="1">
      <alignment horizontal="center"/>
    </xf>
    <xf numFmtId="0" fontId="10" fillId="7" borderId="2" xfId="0" applyFont="1" applyFill="1" applyBorder="1" applyAlignment="1">
      <alignment horizontal="center"/>
    </xf>
    <xf numFmtId="0" fontId="10" fillId="7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10" fillId="7" borderId="1" xfId="0" applyFont="1" applyFill="1" applyBorder="1" applyAlignment="1">
      <alignment horizontal="center"/>
    </xf>
    <xf numFmtId="0" fontId="37" fillId="23" borderId="0" xfId="0" applyFont="1" applyFill="1" applyAlignment="1">
      <alignment horizontal="center"/>
    </xf>
    <xf numFmtId="0" fontId="10" fillId="8" borderId="7" xfId="0" applyFont="1" applyFill="1" applyBorder="1" applyAlignment="1">
      <alignment horizontal="center"/>
    </xf>
    <xf numFmtId="0" fontId="10" fillId="8" borderId="8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26" fillId="9" borderId="0" xfId="0" applyFont="1" applyFill="1" applyAlignment="1">
      <alignment horizontal="center"/>
    </xf>
    <xf numFmtId="0" fontId="34" fillId="22" borderId="0" xfId="0" applyFont="1" applyFill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0" xfId="0" applyAlignment="1">
      <alignment horizontal="left" wrapText="1"/>
    </xf>
    <xf numFmtId="0" fontId="34" fillId="21" borderId="0" xfId="0" applyFont="1" applyFill="1" applyAlignment="1">
      <alignment horizontal="center" wrapText="1"/>
    </xf>
    <xf numFmtId="0" fontId="0" fillId="13" borderId="1" xfId="0" applyFill="1" applyBorder="1" applyAlignment="1">
      <alignment horizontal="center"/>
    </xf>
    <xf numFmtId="0" fontId="34" fillId="20" borderId="0" xfId="0" applyFont="1" applyFill="1" applyAlignment="1">
      <alignment horizontal="center"/>
    </xf>
    <xf numFmtId="0" fontId="36" fillId="14" borderId="0" xfId="0" applyFont="1" applyFill="1" applyAlignment="1">
      <alignment horizontal="center" wrapText="1"/>
    </xf>
    <xf numFmtId="0" fontId="17" fillId="14" borderId="0" xfId="0" applyFont="1" applyFill="1" applyAlignment="1">
      <alignment horizontal="center" wrapText="1"/>
    </xf>
    <xf numFmtId="0" fontId="17" fillId="14" borderId="2" xfId="0" applyFont="1" applyFill="1" applyBorder="1" applyAlignment="1">
      <alignment horizontal="left"/>
    </xf>
    <xf numFmtId="0" fontId="17" fillId="14" borderId="0" xfId="0" applyFont="1" applyFill="1" applyBorder="1" applyAlignment="1">
      <alignment horizontal="left"/>
    </xf>
    <xf numFmtId="0" fontId="18" fillId="0" borderId="0" xfId="0" applyFont="1" applyAlignment="1">
      <alignment horizontal="center" wrapText="1"/>
    </xf>
    <xf numFmtId="0" fontId="17" fillId="14" borderId="0" xfId="0" applyFont="1" applyFill="1" applyAlignment="1">
      <alignment horizontal="left" wrapText="1"/>
    </xf>
    <xf numFmtId="0" fontId="10" fillId="14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0" fillId="14" borderId="7" xfId="0" applyFont="1" applyFill="1" applyBorder="1" applyAlignment="1">
      <alignment horizontal="center"/>
    </xf>
    <xf numFmtId="0" fontId="10" fillId="14" borderId="8" xfId="0" applyFont="1" applyFill="1" applyBorder="1" applyAlignment="1">
      <alignment horizontal="center"/>
    </xf>
    <xf numFmtId="0" fontId="18" fillId="15" borderId="7" xfId="0" applyFont="1" applyFill="1" applyBorder="1" applyAlignment="1">
      <alignment horizontal="center"/>
    </xf>
    <xf numFmtId="0" fontId="18" fillId="15" borderId="8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19" fillId="14" borderId="0" xfId="0" applyFont="1" applyFill="1" applyAlignment="1">
      <alignment horizontal="left" vertical="center" wrapText="1"/>
    </xf>
    <xf numFmtId="0" fontId="26" fillId="17" borderId="0" xfId="0" applyFont="1" applyFill="1" applyAlignment="1">
      <alignment horizontal="center"/>
    </xf>
    <xf numFmtId="0" fontId="10" fillId="17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34" fillId="19" borderId="0" xfId="0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6"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0"/>
    </dxf>
    <dxf>
      <numFmt numFmtId="164" formatCode="0.0000"/>
    </dxf>
    <dxf>
      <alignment horizontal="center" vertical="center" textRotation="0" wrapText="1" indent="0" justifyLastLine="0" shrinkToFit="0" readingOrder="0"/>
    </dxf>
    <dxf>
      <numFmt numFmtId="0" formatCode="General"/>
    </dxf>
  </dxfs>
  <tableStyles count="0" defaultTableStyle="TableStyleMedium2" defaultPivotStyle="PivotStyleLight16"/>
  <colors>
    <mruColors>
      <color rgb="FF1F4E78"/>
      <color rgb="FF548235"/>
      <color rgb="FF9BC2E6"/>
      <color rgb="FFFFD966"/>
      <color rgb="FFACB9CA"/>
      <color rgb="FFCC66FF"/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'Mayo 13'!$B$6:$B$11</c:f>
              <c:strCache>
                <c:ptCount val="6"/>
                <c:pt idx="0">
                  <c:v>personal militar</c:v>
                </c:pt>
                <c:pt idx="1">
                  <c:v>operación y mantenimiento</c:v>
                </c:pt>
                <c:pt idx="2">
                  <c:v>adquisiciones</c:v>
                </c:pt>
                <c:pt idx="3">
                  <c:v>investigación y desarrollo</c:v>
                </c:pt>
                <c:pt idx="4">
                  <c:v>construcción militar</c:v>
                </c:pt>
                <c:pt idx="5">
                  <c:v>otra</c:v>
                </c:pt>
              </c:strCache>
            </c:strRef>
          </c:cat>
          <c:val>
            <c:numRef>
              <c:f>'Mayo 13'!$C$6:$C$11</c:f>
              <c:numCache>
                <c:formatCode>General</c:formatCode>
                <c:ptCount val="6"/>
                <c:pt idx="0">
                  <c:v>127.5</c:v>
                </c:pt>
                <c:pt idx="1">
                  <c:v>188.1</c:v>
                </c:pt>
                <c:pt idx="2">
                  <c:v>82.3</c:v>
                </c:pt>
                <c:pt idx="3">
                  <c:v>65.7</c:v>
                </c:pt>
                <c:pt idx="4">
                  <c:v>5.3</c:v>
                </c:pt>
                <c:pt idx="5">
                  <c:v>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A-430B-BB8D-73A2840CFD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951919"/>
        <c:axId val="757810447"/>
      </c:barChart>
      <c:catAx>
        <c:axId val="75695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7810447"/>
        <c:crosses val="autoZero"/>
        <c:auto val="1"/>
        <c:lblAlgn val="ctr"/>
        <c:lblOffset val="100"/>
        <c:noMultiLvlLbl val="0"/>
      </c:catAx>
      <c:valAx>
        <c:axId val="75781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6951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Porcentaje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33-461D-A0C5-2725FD2939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33-461D-A0C5-2725FD2939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133-461D-A0C5-2725FD29393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133-461D-A0C5-2725FD29393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133-461D-A0C5-2725FD29393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133-461D-A0C5-2725FD2939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'Mayo 13'!$B$6:$B$11</c:f>
              <c:strCache>
                <c:ptCount val="6"/>
                <c:pt idx="0">
                  <c:v>personal militar</c:v>
                </c:pt>
                <c:pt idx="1">
                  <c:v>operación y mantenimiento</c:v>
                </c:pt>
                <c:pt idx="2">
                  <c:v>adquisiciones</c:v>
                </c:pt>
                <c:pt idx="3">
                  <c:v>investigación y desarrollo</c:v>
                </c:pt>
                <c:pt idx="4">
                  <c:v>construcción militar</c:v>
                </c:pt>
                <c:pt idx="5">
                  <c:v>otra</c:v>
                </c:pt>
              </c:strCache>
            </c:strRef>
          </c:cat>
          <c:val>
            <c:numRef>
              <c:f>'Mayo 13'!$D$6:$D$11</c:f>
              <c:numCache>
                <c:formatCode>General</c:formatCode>
                <c:ptCount val="6"/>
                <c:pt idx="0">
                  <c:v>26.876053962900503</c:v>
                </c:pt>
                <c:pt idx="1">
                  <c:v>39.650084317032039</c:v>
                </c:pt>
                <c:pt idx="2">
                  <c:v>17.348229342327148</c:v>
                </c:pt>
                <c:pt idx="3">
                  <c:v>13.849072512647552</c:v>
                </c:pt>
                <c:pt idx="4">
                  <c:v>1.1172006745362562</c:v>
                </c:pt>
                <c:pt idx="5">
                  <c:v>1.1593591905564924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C-446D-B531-7B92B45D40D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Proyección Lineal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'Mayo 13'!$C$26</c:f>
              <c:strCache>
                <c:ptCount val="1"/>
                <c:pt idx="0">
                  <c:v>85 o más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'Mayo 13'!$B$27:$B$31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'Mayo 13'!$C$27:$C$31</c:f>
              <c:numCache>
                <c:formatCode>General</c:formatCode>
                <c:ptCount val="5"/>
                <c:pt idx="0">
                  <c:v>6.1</c:v>
                </c:pt>
                <c:pt idx="1">
                  <c:v>7.3</c:v>
                </c:pt>
                <c:pt idx="2">
                  <c:v>9.6</c:v>
                </c:pt>
                <c:pt idx="3">
                  <c:v>15.4</c:v>
                </c:pt>
                <c:pt idx="4">
                  <c:v>20.9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1E-4F6F-A3FF-B21AA8731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447151"/>
        <c:axId val="863370255"/>
      </c:scatterChart>
      <c:valAx>
        <c:axId val="863447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63370255"/>
        <c:crosses val="autoZero"/>
        <c:crossBetween val="midCat"/>
      </c:valAx>
      <c:valAx>
        <c:axId val="86337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63447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Frecuencia Absoluta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'Mayo 13'!$C$43:$C$86</c:f>
              <c:numCache>
                <c:formatCode>General</c:formatCode>
                <c:ptCount val="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E-4B38-965F-AC904E3AD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368608"/>
        <c:axId val="1272083888"/>
      </c:barChart>
      <c:catAx>
        <c:axId val="1394368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72083888"/>
        <c:crosses val="autoZero"/>
        <c:auto val="1"/>
        <c:lblAlgn val="ctr"/>
        <c:lblOffset val="100"/>
        <c:noMultiLvlLbl val="0"/>
      </c:catAx>
      <c:valAx>
        <c:axId val="12720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436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Frecuencia Relativa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'Mayo 13'!$E$43:$E$86</c:f>
              <c:numCache>
                <c:formatCode>0.0000</c:formatCode>
                <c:ptCount val="44"/>
                <c:pt idx="0">
                  <c:v>1.6666666666666666E-2</c:v>
                </c:pt>
                <c:pt idx="1">
                  <c:v>1.6666666666666666E-2</c:v>
                </c:pt>
                <c:pt idx="2">
                  <c:v>1.6666666666666666E-2</c:v>
                </c:pt>
                <c:pt idx="3">
                  <c:v>1.6666666666666666E-2</c:v>
                </c:pt>
                <c:pt idx="4">
                  <c:v>1.6666666666666666E-2</c:v>
                </c:pt>
                <c:pt idx="5">
                  <c:v>1.6666666666666666E-2</c:v>
                </c:pt>
                <c:pt idx="6">
                  <c:v>1.6666666666666666E-2</c:v>
                </c:pt>
                <c:pt idx="7">
                  <c:v>1.6666666666666666E-2</c:v>
                </c:pt>
                <c:pt idx="8">
                  <c:v>3.3333333333333333E-2</c:v>
                </c:pt>
                <c:pt idx="9">
                  <c:v>1.6666666666666666E-2</c:v>
                </c:pt>
                <c:pt idx="10">
                  <c:v>1.6666666666666666E-2</c:v>
                </c:pt>
                <c:pt idx="11">
                  <c:v>3.3333333333333333E-2</c:v>
                </c:pt>
                <c:pt idx="12">
                  <c:v>1.6666666666666666E-2</c:v>
                </c:pt>
                <c:pt idx="13">
                  <c:v>1.6666666666666666E-2</c:v>
                </c:pt>
                <c:pt idx="14">
                  <c:v>1.6666666666666666E-2</c:v>
                </c:pt>
                <c:pt idx="15">
                  <c:v>3.3333333333333333E-2</c:v>
                </c:pt>
                <c:pt idx="16">
                  <c:v>1.6666666666666666E-2</c:v>
                </c:pt>
                <c:pt idx="17">
                  <c:v>1.6666666666666666E-2</c:v>
                </c:pt>
                <c:pt idx="18">
                  <c:v>1.6666666666666666E-2</c:v>
                </c:pt>
                <c:pt idx="19">
                  <c:v>3.3333333333333333E-2</c:v>
                </c:pt>
                <c:pt idx="20">
                  <c:v>1.6666666666666666E-2</c:v>
                </c:pt>
                <c:pt idx="21">
                  <c:v>3.3333333333333333E-2</c:v>
                </c:pt>
                <c:pt idx="22">
                  <c:v>1.6666666666666666E-2</c:v>
                </c:pt>
                <c:pt idx="23">
                  <c:v>1.6666666666666666E-2</c:v>
                </c:pt>
                <c:pt idx="24">
                  <c:v>1.6666666666666666E-2</c:v>
                </c:pt>
                <c:pt idx="25">
                  <c:v>1.6666666666666666E-2</c:v>
                </c:pt>
                <c:pt idx="26">
                  <c:v>0.05</c:v>
                </c:pt>
                <c:pt idx="27">
                  <c:v>1.6666666666666666E-2</c:v>
                </c:pt>
                <c:pt idx="28">
                  <c:v>3.3333333333333333E-2</c:v>
                </c:pt>
                <c:pt idx="29">
                  <c:v>1.6666666666666666E-2</c:v>
                </c:pt>
                <c:pt idx="30">
                  <c:v>3.3333333333333333E-2</c:v>
                </c:pt>
                <c:pt idx="31">
                  <c:v>3.3333333333333333E-2</c:v>
                </c:pt>
                <c:pt idx="32">
                  <c:v>0.05</c:v>
                </c:pt>
                <c:pt idx="33">
                  <c:v>3.3333333333333333E-2</c:v>
                </c:pt>
                <c:pt idx="34">
                  <c:v>3.3333333333333333E-2</c:v>
                </c:pt>
                <c:pt idx="35">
                  <c:v>1.6666666666666666E-2</c:v>
                </c:pt>
                <c:pt idx="36">
                  <c:v>3.3333333333333333E-2</c:v>
                </c:pt>
                <c:pt idx="37">
                  <c:v>3.3333333333333333E-2</c:v>
                </c:pt>
                <c:pt idx="38">
                  <c:v>1.6666666666666666E-2</c:v>
                </c:pt>
                <c:pt idx="39">
                  <c:v>1.6666666666666666E-2</c:v>
                </c:pt>
                <c:pt idx="40">
                  <c:v>1.6666666666666666E-2</c:v>
                </c:pt>
                <c:pt idx="41">
                  <c:v>1.6666666666666666E-2</c:v>
                </c:pt>
                <c:pt idx="42">
                  <c:v>1.6666666666666666E-2</c:v>
                </c:pt>
                <c:pt idx="43">
                  <c:v>1.6666666666666666E-2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A0-4448-9E75-E17CDC47F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274336"/>
        <c:axId val="1272033552"/>
      </c:barChart>
      <c:catAx>
        <c:axId val="139427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72033552"/>
        <c:crosses val="autoZero"/>
        <c:auto val="1"/>
        <c:lblAlgn val="ctr"/>
        <c:lblOffset val="100"/>
        <c:noMultiLvlLbl val="0"/>
      </c:catAx>
      <c:valAx>
        <c:axId val="127203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427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Marca de clase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'Mayo 16'!$J$54</c:f>
              <c:strCache>
                <c:ptCount val="1"/>
                <c:pt idx="0">
                  <c:v>Marca de Clase</c:v>
                </c:pt>
              </c:strCache>
            </c:strRef>
          </c:tx>
          <c:invertIfNegative val="0"/>
          <c:cat>
            <c:strRef>
              <c:f>'Mayo 16'!$I$55:$I$59</c:f>
              <c:strCache>
                <c:ptCount val="5"/>
                <c:pt idx="0">
                  <c:v>2, 21</c:v>
                </c:pt>
                <c:pt idx="1">
                  <c:v>22, 41</c:v>
                </c:pt>
                <c:pt idx="2">
                  <c:v>41, 62</c:v>
                </c:pt>
                <c:pt idx="3">
                  <c:v>63, 82</c:v>
                </c:pt>
                <c:pt idx="4">
                  <c:v>83, 102</c:v>
                </c:pt>
              </c:strCache>
            </c:strRef>
          </c:cat>
          <c:val>
            <c:numRef>
              <c:f>'Mayo 16'!$J$55:$J$59</c:f>
              <c:numCache>
                <c:formatCode>0.0</c:formatCode>
                <c:ptCount val="5"/>
                <c:pt idx="0">
                  <c:v>11.6</c:v>
                </c:pt>
                <c:pt idx="1">
                  <c:v>31.799999999999997</c:v>
                </c:pt>
                <c:pt idx="2">
                  <c:v>52</c:v>
                </c:pt>
                <c:pt idx="3">
                  <c:v>72.199999999999989</c:v>
                </c:pt>
                <c:pt idx="4">
                  <c:v>92.4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A9-4729-BDF2-F68CB07C9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98647743"/>
        <c:axId val="1548070223"/>
      </c:barChart>
      <c:lineChart>
        <c:grouping val="standard"/>
        <c:varyColors val="0"/>
        <c:ser>
          <c:idx val="0"/>
          <c:order val="1"/>
          <c:tx>
            <c:strRef>
              <c:f>'Mayo 16'!$J$54</c:f>
              <c:strCache>
                <c:ptCount val="1"/>
                <c:pt idx="0">
                  <c:v>Marca de Clase</c:v>
                </c:pt>
              </c:strCache>
            </c:strRef>
          </c:tx>
          <c:spPr>
            <a:effectLst/>
          </c:spPr>
          <c:marker>
            <c:symbol val="none"/>
          </c:marker>
          <c:cat>
            <c:strRef>
              <c:f>'Mayo 16'!$I$55:$I$59</c:f>
              <c:strCache>
                <c:ptCount val="5"/>
                <c:pt idx="0">
                  <c:v>2, 21</c:v>
                </c:pt>
                <c:pt idx="1">
                  <c:v>22, 41</c:v>
                </c:pt>
                <c:pt idx="2">
                  <c:v>41, 62</c:v>
                </c:pt>
                <c:pt idx="3">
                  <c:v>63, 82</c:v>
                </c:pt>
                <c:pt idx="4">
                  <c:v>83, 102</c:v>
                </c:pt>
              </c:strCache>
            </c:strRef>
          </c:cat>
          <c:val>
            <c:numRef>
              <c:f>'Mayo 16'!$J$55:$J$59</c:f>
              <c:numCache>
                <c:formatCode>0.0</c:formatCode>
                <c:ptCount val="5"/>
                <c:pt idx="0">
                  <c:v>11.6</c:v>
                </c:pt>
                <c:pt idx="1">
                  <c:v>31.799999999999997</c:v>
                </c:pt>
                <c:pt idx="2">
                  <c:v>52</c:v>
                </c:pt>
                <c:pt idx="3">
                  <c:v>72.199999999999989</c:v>
                </c:pt>
                <c:pt idx="4">
                  <c:v>92.4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A9-4729-BDF2-F68CB07C9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8647743"/>
        <c:axId val="1548070223"/>
      </c:lineChart>
      <c:catAx>
        <c:axId val="189864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48070223"/>
        <c:crosses val="autoZero"/>
        <c:auto val="1"/>
        <c:lblAlgn val="ctr"/>
        <c:lblOffset val="100"/>
        <c:noMultiLvlLbl val="0"/>
      </c:catAx>
      <c:valAx>
        <c:axId val="154807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8647743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Frecuencia Absoluta Velocidades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'Tarea MTC y MD'!$E$8:$E$31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2-436B-B5B5-7202A0B473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01715888"/>
        <c:axId val="304711824"/>
      </c:barChart>
      <c:catAx>
        <c:axId val="170171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4711824"/>
        <c:crosses val="autoZero"/>
        <c:auto val="1"/>
        <c:lblAlgn val="ctr"/>
        <c:lblOffset val="100"/>
        <c:noMultiLvlLbl val="0"/>
      </c:catAx>
      <c:valAx>
        <c:axId val="3047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0171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Frecuencia RElativa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'Tarea MTC y MD'!$F$8:$F$31</c:f>
              <c:numCache>
                <c:formatCode>General</c:formatCode>
                <c:ptCount val="24"/>
                <c:pt idx="0">
                  <c:v>3.3333333333333333E-2</c:v>
                </c:pt>
                <c:pt idx="1">
                  <c:v>3.3333333333333333E-2</c:v>
                </c:pt>
                <c:pt idx="2">
                  <c:v>6.6666666666666666E-2</c:v>
                </c:pt>
                <c:pt idx="3">
                  <c:v>3.3333333333333333E-2</c:v>
                </c:pt>
                <c:pt idx="4">
                  <c:v>3.3333333333333333E-2</c:v>
                </c:pt>
                <c:pt idx="5">
                  <c:v>3.3333333333333333E-2</c:v>
                </c:pt>
                <c:pt idx="6">
                  <c:v>3.3333333333333333E-2</c:v>
                </c:pt>
                <c:pt idx="7">
                  <c:v>6.6666666666666666E-2</c:v>
                </c:pt>
                <c:pt idx="8">
                  <c:v>3.3333333333333333E-2</c:v>
                </c:pt>
                <c:pt idx="9">
                  <c:v>6.6666666666666666E-2</c:v>
                </c:pt>
                <c:pt idx="10">
                  <c:v>3.3333333333333333E-2</c:v>
                </c:pt>
                <c:pt idx="11">
                  <c:v>3.3333333333333333E-2</c:v>
                </c:pt>
                <c:pt idx="12">
                  <c:v>3.3333333333333333E-2</c:v>
                </c:pt>
                <c:pt idx="13">
                  <c:v>6.6666666666666666E-2</c:v>
                </c:pt>
                <c:pt idx="14">
                  <c:v>6.6666666666666666E-2</c:v>
                </c:pt>
                <c:pt idx="15">
                  <c:v>3.3333333333333333E-2</c:v>
                </c:pt>
                <c:pt idx="16">
                  <c:v>3.3333333333333333E-2</c:v>
                </c:pt>
                <c:pt idx="17">
                  <c:v>3.3333333333333333E-2</c:v>
                </c:pt>
                <c:pt idx="18">
                  <c:v>3.3333333333333333E-2</c:v>
                </c:pt>
                <c:pt idx="19">
                  <c:v>6.6666666666666666E-2</c:v>
                </c:pt>
                <c:pt idx="20">
                  <c:v>3.3333333333333333E-2</c:v>
                </c:pt>
                <c:pt idx="21">
                  <c:v>3.3333333333333333E-2</c:v>
                </c:pt>
                <c:pt idx="22">
                  <c:v>3.3333333333333333E-2</c:v>
                </c:pt>
                <c:pt idx="23">
                  <c:v>3.3333333333333333E-2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2-4658-8F98-54806B83FE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06500080"/>
        <c:axId val="161115616"/>
      </c:barChart>
      <c:catAx>
        <c:axId val="30650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1115616"/>
        <c:crosses val="autoZero"/>
        <c:auto val="1"/>
        <c:lblAlgn val="ctr"/>
        <c:lblOffset val="100"/>
        <c:noMultiLvlLbl val="0"/>
      </c:catAx>
      <c:valAx>
        <c:axId val="161115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650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Frecuencia Relativa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'Tarea MTC y MD'!$E$78:$E$127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9-4F75-8438-9A4242EE02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62887616"/>
        <c:axId val="370142208"/>
      </c:barChart>
      <c:catAx>
        <c:axId val="46288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70142208"/>
        <c:crosses val="autoZero"/>
        <c:auto val="1"/>
        <c:lblAlgn val="ctr"/>
        <c:lblOffset val="100"/>
        <c:noMultiLvlLbl val="0"/>
      </c:catAx>
      <c:valAx>
        <c:axId val="3701422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288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Frecuencia</a:t>
            </a:r>
            <a:r>
              <a:rPr lang="es-MX" baseline="0"/>
              <a:t> absoluta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'Tarea MTC y MD'!$F$78:$F$127</c:f>
              <c:numCache>
                <c:formatCode>General</c:formatCode>
                <c:ptCount val="50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0-47F4-835D-C5B7E5DFC7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12299840"/>
        <c:axId val="466862752"/>
      </c:barChart>
      <c:catAx>
        <c:axId val="31229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6862752"/>
        <c:crosses val="autoZero"/>
        <c:auto val="1"/>
        <c:lblAlgn val="ctr"/>
        <c:lblOffset val="100"/>
        <c:noMultiLvlLbl val="0"/>
      </c:catAx>
      <c:valAx>
        <c:axId val="4668627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229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Frecuencia Absoluta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'Tarea MTC y MD'!$E$188:$E$214</c:f>
              <c:numCache>
                <c:formatCode>General</c:formatCode>
                <c:ptCount val="2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4-4124-936C-9ED2346A09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87634896"/>
        <c:axId val="466859840"/>
      </c:barChart>
      <c:catAx>
        <c:axId val="38763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6859840"/>
        <c:crosses val="autoZero"/>
        <c:auto val="1"/>
        <c:lblAlgn val="ctr"/>
        <c:lblOffset val="100"/>
        <c:noMultiLvlLbl val="0"/>
      </c:catAx>
      <c:valAx>
        <c:axId val="4668598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8763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FRECUENCIA RELATIVA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'Tarea MTC y MD'!$F$188:$F$214</c:f>
              <c:numCache>
                <c:formatCode>General</c:formatCode>
                <c:ptCount val="27"/>
                <c:pt idx="0">
                  <c:v>2.5000000000000001E-2</c:v>
                </c:pt>
                <c:pt idx="1">
                  <c:v>2.5000000000000001E-2</c:v>
                </c:pt>
                <c:pt idx="2">
                  <c:v>2.5000000000000001E-2</c:v>
                </c:pt>
                <c:pt idx="3">
                  <c:v>0.05</c:v>
                </c:pt>
                <c:pt idx="4">
                  <c:v>2.5000000000000001E-2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2.5000000000000001E-2</c:v>
                </c:pt>
                <c:pt idx="8">
                  <c:v>2.5000000000000001E-2</c:v>
                </c:pt>
                <c:pt idx="9">
                  <c:v>0.05</c:v>
                </c:pt>
                <c:pt idx="10">
                  <c:v>7.4999999999999997E-2</c:v>
                </c:pt>
                <c:pt idx="11">
                  <c:v>7.4999999999999997E-2</c:v>
                </c:pt>
                <c:pt idx="12">
                  <c:v>0.05</c:v>
                </c:pt>
                <c:pt idx="13">
                  <c:v>2.5000000000000001E-2</c:v>
                </c:pt>
                <c:pt idx="14">
                  <c:v>2.5000000000000001E-2</c:v>
                </c:pt>
                <c:pt idx="15">
                  <c:v>7.4999999999999997E-2</c:v>
                </c:pt>
                <c:pt idx="16">
                  <c:v>0.05</c:v>
                </c:pt>
                <c:pt idx="17">
                  <c:v>0.05</c:v>
                </c:pt>
                <c:pt idx="18">
                  <c:v>2.5000000000000001E-2</c:v>
                </c:pt>
                <c:pt idx="19">
                  <c:v>2.5000000000000001E-2</c:v>
                </c:pt>
                <c:pt idx="20">
                  <c:v>7.4999999999999997E-2</c:v>
                </c:pt>
                <c:pt idx="21">
                  <c:v>2.5000000000000001E-2</c:v>
                </c:pt>
                <c:pt idx="22">
                  <c:v>2.5000000000000001E-2</c:v>
                </c:pt>
                <c:pt idx="23">
                  <c:v>2.5000000000000001E-2</c:v>
                </c:pt>
                <c:pt idx="24">
                  <c:v>2.5000000000000001E-2</c:v>
                </c:pt>
                <c:pt idx="25">
                  <c:v>2.5000000000000001E-2</c:v>
                </c:pt>
                <c:pt idx="26">
                  <c:v>2.5000000000000001E-2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7-4BA7-BFC1-BDD0BF05B4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36083904"/>
        <c:axId val="466995872"/>
      </c:barChart>
      <c:catAx>
        <c:axId val="53608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6995872"/>
        <c:crosses val="autoZero"/>
        <c:auto val="1"/>
        <c:lblAlgn val="ctr"/>
        <c:lblOffset val="100"/>
        <c:noMultiLvlLbl val="0"/>
      </c:catAx>
      <c:valAx>
        <c:axId val="4669958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608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MX"/>
              <a:t>Polígono de frecuencias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'Tarea MTC y MD'!$K$52</c:f>
              <c:strCache>
                <c:ptCount val="1"/>
                <c:pt idx="0">
                  <c:v>Marca de Clase</c:v>
                </c:pt>
              </c:strCache>
            </c:strRef>
          </c:tx>
          <c:invertIfNegative val="0"/>
          <c:cat>
            <c:strRef>
              <c:f>'Tarea MTC y MD'!$J$53:$J$59</c:f>
              <c:strCache>
                <c:ptCount val="7"/>
                <c:pt idx="0">
                  <c:v>48,53</c:v>
                </c:pt>
                <c:pt idx="1">
                  <c:v>64, 59</c:v>
                </c:pt>
                <c:pt idx="2">
                  <c:v>60, 65</c:v>
                </c:pt>
                <c:pt idx="3">
                  <c:v>66, 72</c:v>
                </c:pt>
                <c:pt idx="4">
                  <c:v>73, 78</c:v>
                </c:pt>
                <c:pt idx="5">
                  <c:v>79, 84</c:v>
                </c:pt>
                <c:pt idx="6">
                  <c:v>85, 90</c:v>
                </c:pt>
              </c:strCache>
            </c:strRef>
          </c:cat>
          <c:val>
            <c:numRef>
              <c:f>'Tarea MTC y MD'!$K$53:$K$59</c:f>
              <c:numCache>
                <c:formatCode>0.0</c:formatCode>
                <c:ptCount val="7"/>
                <c:pt idx="0">
                  <c:v>50.571428571428569</c:v>
                </c:pt>
                <c:pt idx="1">
                  <c:v>56.714285714285722</c:v>
                </c:pt>
                <c:pt idx="2">
                  <c:v>62.857142857142861</c:v>
                </c:pt>
                <c:pt idx="3">
                  <c:v>69</c:v>
                </c:pt>
                <c:pt idx="4">
                  <c:v>75.142857142857139</c:v>
                </c:pt>
                <c:pt idx="5">
                  <c:v>81.285714285714278</c:v>
                </c:pt>
                <c:pt idx="6">
                  <c:v>87.428571428571416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8-40E7-9EA5-D79AD3B0C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07336815"/>
        <c:axId val="1206935935"/>
      </c:barChart>
      <c:lineChart>
        <c:grouping val="standard"/>
        <c:varyColors val="0"/>
        <c:ser>
          <c:idx val="0"/>
          <c:order val="1"/>
          <c:tx>
            <c:strRef>
              <c:f>'Tarea MTC y MD'!$K$52</c:f>
              <c:strCache>
                <c:ptCount val="1"/>
                <c:pt idx="0">
                  <c:v>Marca de Clase</c:v>
                </c:pt>
              </c:strCache>
            </c:strRef>
          </c:tx>
          <c:spPr>
            <a:effectLst/>
          </c:spPr>
          <c:marker>
            <c:symbol val="none"/>
          </c:marker>
          <c:cat>
            <c:strRef>
              <c:f>'Tarea MTC y MD'!$J$53:$J$59</c:f>
              <c:strCache>
                <c:ptCount val="7"/>
                <c:pt idx="0">
                  <c:v>48,53</c:v>
                </c:pt>
                <c:pt idx="1">
                  <c:v>64, 59</c:v>
                </c:pt>
                <c:pt idx="2">
                  <c:v>60, 65</c:v>
                </c:pt>
                <c:pt idx="3">
                  <c:v>66, 72</c:v>
                </c:pt>
                <c:pt idx="4">
                  <c:v>73, 78</c:v>
                </c:pt>
                <c:pt idx="5">
                  <c:v>79, 84</c:v>
                </c:pt>
                <c:pt idx="6">
                  <c:v>85, 90</c:v>
                </c:pt>
              </c:strCache>
            </c:strRef>
          </c:cat>
          <c:val>
            <c:numRef>
              <c:f>'Tarea MTC y MD'!$K$53:$K$59</c:f>
              <c:numCache>
                <c:formatCode>0.0</c:formatCode>
                <c:ptCount val="7"/>
                <c:pt idx="0">
                  <c:v>50.571428571428569</c:v>
                </c:pt>
                <c:pt idx="1">
                  <c:v>56.714285714285722</c:v>
                </c:pt>
                <c:pt idx="2">
                  <c:v>62.857142857142861</c:v>
                </c:pt>
                <c:pt idx="3">
                  <c:v>69</c:v>
                </c:pt>
                <c:pt idx="4">
                  <c:v>75.142857142857139</c:v>
                </c:pt>
                <c:pt idx="5">
                  <c:v>81.285714285714278</c:v>
                </c:pt>
                <c:pt idx="6">
                  <c:v>87.428571428571416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8-40E7-9EA5-D79AD3B0C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336815"/>
        <c:axId val="1206935935"/>
      </c:lineChart>
      <c:catAx>
        <c:axId val="160733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6935935"/>
        <c:crosses val="autoZero"/>
        <c:auto val="1"/>
        <c:lblAlgn val="ctr"/>
        <c:lblOffset val="100"/>
        <c:noMultiLvlLbl val="0"/>
      </c:catAx>
      <c:valAx>
        <c:axId val="12069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07336815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Polígono de FRrecuencias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'Tarea MTC y MD'!$K$148</c:f>
              <c:strCache>
                <c:ptCount val="1"/>
                <c:pt idx="0">
                  <c:v>Marca de Clase</c:v>
                </c:pt>
              </c:strCache>
            </c:strRef>
          </c:tx>
          <c:invertIfNegative val="0"/>
          <c:cat>
            <c:strRef>
              <c:f>'Tarea MTC y MD'!$J$149:$J$159</c:f>
              <c:strCache>
                <c:ptCount val="11"/>
                <c:pt idx="0">
                  <c:v>42.73, 45.48</c:v>
                </c:pt>
                <c:pt idx="1">
                  <c:v>46.48, 49.23</c:v>
                </c:pt>
                <c:pt idx="2">
                  <c:v>50.23, 52.98</c:v>
                </c:pt>
                <c:pt idx="3">
                  <c:v>53.98, 56.73</c:v>
                </c:pt>
                <c:pt idx="4">
                  <c:v>57.73, 60.48</c:v>
                </c:pt>
                <c:pt idx="5">
                  <c:v>61.48, 64.23</c:v>
                </c:pt>
                <c:pt idx="6">
                  <c:v>65.23, 67.98</c:v>
                </c:pt>
                <c:pt idx="7">
                  <c:v>68.98, 71.73</c:v>
                </c:pt>
                <c:pt idx="8">
                  <c:v>72.73, 75.48</c:v>
                </c:pt>
                <c:pt idx="9">
                  <c:v>76.48, 79.23</c:v>
                </c:pt>
                <c:pt idx="10">
                  <c:v>80.23, 82.98</c:v>
                </c:pt>
              </c:strCache>
            </c:strRef>
          </c:cat>
          <c:val>
            <c:numRef>
              <c:f>'Tarea MTC y MD'!$K$149:$K$159</c:f>
              <c:numCache>
                <c:formatCode>0.0</c:formatCode>
                <c:ptCount val="11"/>
                <c:pt idx="0">
                  <c:v>44.104999999999997</c:v>
                </c:pt>
                <c:pt idx="1">
                  <c:v>47.854999999999997</c:v>
                </c:pt>
                <c:pt idx="2">
                  <c:v>51.604999999999997</c:v>
                </c:pt>
                <c:pt idx="3">
                  <c:v>55.354999999999997</c:v>
                </c:pt>
                <c:pt idx="4">
                  <c:v>59.104999999999997</c:v>
                </c:pt>
                <c:pt idx="5">
                  <c:v>62.85499999999999</c:v>
                </c:pt>
                <c:pt idx="6">
                  <c:v>66.60499999999999</c:v>
                </c:pt>
                <c:pt idx="7">
                  <c:v>70.35499999999999</c:v>
                </c:pt>
                <c:pt idx="8">
                  <c:v>74.10499999999999</c:v>
                </c:pt>
                <c:pt idx="9">
                  <c:v>77.85499999999999</c:v>
                </c:pt>
                <c:pt idx="10">
                  <c:v>81.60499999999999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0C-4F5F-80D0-82BEED8E5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60888719"/>
        <c:axId val="1206926783"/>
      </c:barChart>
      <c:lineChart>
        <c:grouping val="standard"/>
        <c:varyColors val="0"/>
        <c:ser>
          <c:idx val="0"/>
          <c:order val="1"/>
          <c:tx>
            <c:strRef>
              <c:f>'Tarea MTC y MD'!$K$148</c:f>
              <c:strCache>
                <c:ptCount val="1"/>
                <c:pt idx="0">
                  <c:v>Marca de Clase</c:v>
                </c:pt>
              </c:strCache>
            </c:strRef>
          </c:tx>
          <c:spPr>
            <a:effectLst/>
          </c:spPr>
          <c:marker>
            <c:symbol val="none"/>
          </c:marker>
          <c:cat>
            <c:strRef>
              <c:f>'Tarea MTC y MD'!$J$149:$J$159</c:f>
              <c:strCache>
                <c:ptCount val="11"/>
                <c:pt idx="0">
                  <c:v>42.73, 45.48</c:v>
                </c:pt>
                <c:pt idx="1">
                  <c:v>46.48, 49.23</c:v>
                </c:pt>
                <c:pt idx="2">
                  <c:v>50.23, 52.98</c:v>
                </c:pt>
                <c:pt idx="3">
                  <c:v>53.98, 56.73</c:v>
                </c:pt>
                <c:pt idx="4">
                  <c:v>57.73, 60.48</c:v>
                </c:pt>
                <c:pt idx="5">
                  <c:v>61.48, 64.23</c:v>
                </c:pt>
                <c:pt idx="6">
                  <c:v>65.23, 67.98</c:v>
                </c:pt>
                <c:pt idx="7">
                  <c:v>68.98, 71.73</c:v>
                </c:pt>
                <c:pt idx="8">
                  <c:v>72.73, 75.48</c:v>
                </c:pt>
                <c:pt idx="9">
                  <c:v>76.48, 79.23</c:v>
                </c:pt>
                <c:pt idx="10">
                  <c:v>80.23, 82.98</c:v>
                </c:pt>
              </c:strCache>
            </c:strRef>
          </c:cat>
          <c:val>
            <c:numRef>
              <c:f>'Tarea MTC y MD'!$K$149:$K$159</c:f>
              <c:numCache>
                <c:formatCode>0.0</c:formatCode>
                <c:ptCount val="11"/>
                <c:pt idx="0">
                  <c:v>44.104999999999997</c:v>
                </c:pt>
                <c:pt idx="1">
                  <c:v>47.854999999999997</c:v>
                </c:pt>
                <c:pt idx="2">
                  <c:v>51.604999999999997</c:v>
                </c:pt>
                <c:pt idx="3">
                  <c:v>55.354999999999997</c:v>
                </c:pt>
                <c:pt idx="4">
                  <c:v>59.104999999999997</c:v>
                </c:pt>
                <c:pt idx="5">
                  <c:v>62.85499999999999</c:v>
                </c:pt>
                <c:pt idx="6">
                  <c:v>66.60499999999999</c:v>
                </c:pt>
                <c:pt idx="7">
                  <c:v>70.35499999999999</c:v>
                </c:pt>
                <c:pt idx="8">
                  <c:v>74.10499999999999</c:v>
                </c:pt>
                <c:pt idx="9">
                  <c:v>77.85499999999999</c:v>
                </c:pt>
                <c:pt idx="10">
                  <c:v>81.60499999999999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C-4F5F-80D0-82BEED8E5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888719"/>
        <c:axId val="1206926783"/>
      </c:lineChart>
      <c:catAx>
        <c:axId val="166088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6926783"/>
        <c:crosses val="autoZero"/>
        <c:auto val="1"/>
        <c:lblAlgn val="ctr"/>
        <c:lblOffset val="100"/>
        <c:noMultiLvlLbl val="0"/>
      </c:catAx>
      <c:valAx>
        <c:axId val="120692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0888719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Polígono de Frecuencia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'Tarea MTC y MD'!$K$243</c:f>
              <c:strCache>
                <c:ptCount val="1"/>
                <c:pt idx="0">
                  <c:v>Marca de Clase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'Tarea MTC y MD'!$J$244:$J$251</c:f>
              <c:strCache>
                <c:ptCount val="8"/>
                <c:pt idx="0">
                  <c:v>25.80, 26.58</c:v>
                </c:pt>
                <c:pt idx="1">
                  <c:v>27.58, 28.35</c:v>
                </c:pt>
                <c:pt idx="2">
                  <c:v>29.35, 30.13</c:v>
                </c:pt>
                <c:pt idx="3">
                  <c:v>31.13, 31.90</c:v>
                </c:pt>
                <c:pt idx="4">
                  <c:v>32.90, 33.68</c:v>
                </c:pt>
                <c:pt idx="5">
                  <c:v>34.68, 35.45</c:v>
                </c:pt>
                <c:pt idx="6">
                  <c:v>36.45, 37.23</c:v>
                </c:pt>
                <c:pt idx="7">
                  <c:v>38.23, 39.00</c:v>
                </c:pt>
              </c:strCache>
            </c:strRef>
          </c:cat>
          <c:val>
            <c:numRef>
              <c:f>'Tarea MTC y MD'!$K$244:$K$251</c:f>
              <c:numCache>
                <c:formatCode>0.0</c:formatCode>
                <c:ptCount val="8"/>
                <c:pt idx="0">
                  <c:v>26.1875</c:v>
                </c:pt>
                <c:pt idx="1">
                  <c:v>27.962499999999999</c:v>
                </c:pt>
                <c:pt idx="2">
                  <c:v>29.737499999999997</c:v>
                </c:pt>
                <c:pt idx="3">
                  <c:v>31.512499999999996</c:v>
                </c:pt>
                <c:pt idx="4">
                  <c:v>33.287499999999994</c:v>
                </c:pt>
                <c:pt idx="5">
                  <c:v>35.062499999999986</c:v>
                </c:pt>
                <c:pt idx="6">
                  <c:v>36.837499999999991</c:v>
                </c:pt>
                <c:pt idx="7">
                  <c:v>38.612499999999983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34-442B-97B6-573018165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60862719"/>
        <c:axId val="1474685759"/>
      </c:barChart>
      <c:lineChart>
        <c:grouping val="standard"/>
        <c:varyColors val="0"/>
        <c:ser>
          <c:idx val="0"/>
          <c:order val="1"/>
          <c:tx>
            <c:strRef>
              <c:f>'Tarea MTC y MD'!$K$243</c:f>
              <c:strCache>
                <c:ptCount val="1"/>
                <c:pt idx="0">
                  <c:v>Marca de Clase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'Tarea MTC y MD'!$J$244:$J$251</c:f>
              <c:strCache>
                <c:ptCount val="8"/>
                <c:pt idx="0">
                  <c:v>25.80, 26.58</c:v>
                </c:pt>
                <c:pt idx="1">
                  <c:v>27.58, 28.35</c:v>
                </c:pt>
                <c:pt idx="2">
                  <c:v>29.35, 30.13</c:v>
                </c:pt>
                <c:pt idx="3">
                  <c:v>31.13, 31.90</c:v>
                </c:pt>
                <c:pt idx="4">
                  <c:v>32.90, 33.68</c:v>
                </c:pt>
                <c:pt idx="5">
                  <c:v>34.68, 35.45</c:v>
                </c:pt>
                <c:pt idx="6">
                  <c:v>36.45, 37.23</c:v>
                </c:pt>
                <c:pt idx="7">
                  <c:v>38.23, 39.00</c:v>
                </c:pt>
              </c:strCache>
            </c:strRef>
          </c:cat>
          <c:val>
            <c:numRef>
              <c:f>'Tarea MTC y MD'!$K$244:$K$251</c:f>
              <c:numCache>
                <c:formatCode>0.0</c:formatCode>
                <c:ptCount val="8"/>
                <c:pt idx="0">
                  <c:v>26.1875</c:v>
                </c:pt>
                <c:pt idx="1">
                  <c:v>27.962499999999999</c:v>
                </c:pt>
                <c:pt idx="2">
                  <c:v>29.737499999999997</c:v>
                </c:pt>
                <c:pt idx="3">
                  <c:v>31.512499999999996</c:v>
                </c:pt>
                <c:pt idx="4">
                  <c:v>33.287499999999994</c:v>
                </c:pt>
                <c:pt idx="5">
                  <c:v>35.062499999999986</c:v>
                </c:pt>
                <c:pt idx="6">
                  <c:v>36.837499999999991</c:v>
                </c:pt>
                <c:pt idx="7">
                  <c:v>38.612499999999983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34-442B-97B6-573018165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862719"/>
        <c:axId val="1474685759"/>
      </c:lineChart>
      <c:catAx>
        <c:axId val="166086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74685759"/>
        <c:crosses val="autoZero"/>
        <c:auto val="1"/>
        <c:lblAlgn val="ctr"/>
        <c:lblOffset val="100"/>
        <c:noMultiLvlLbl val="0"/>
      </c:catAx>
      <c:valAx>
        <c:axId val="14746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086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Mayo30!$C$8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3824168059563738E-2"/>
                  <c:y val="0.253454467704461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Mayo30!$B$9:$B$17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11</c:v>
                </c:pt>
                <c:pt idx="7">
                  <c:v>14</c:v>
                </c:pt>
              </c:numCache>
            </c:numRef>
          </c:xVal>
          <c:yVal>
            <c:numRef>
              <c:f>Mayo30!$C$9:$C$17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CA-4024-9AFE-59E0080EA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252175"/>
        <c:axId val="1631647679"/>
      </c:scatterChart>
      <c:valAx>
        <c:axId val="153925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1647679"/>
        <c:crosses val="autoZero"/>
        <c:crossBetween val="midCat"/>
      </c:valAx>
      <c:valAx>
        <c:axId val="163164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9252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Mayo30!$C$30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1565179352580925E-2"/>
                  <c:y val="0.160799431321084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Mayo30!$B$31:$B$60</c:f>
              <c:numCache>
                <c:formatCode>General</c:formatCode>
                <c:ptCount val="30"/>
                <c:pt idx="0">
                  <c:v>11</c:v>
                </c:pt>
                <c:pt idx="1">
                  <c:v>5</c:v>
                </c:pt>
                <c:pt idx="2">
                  <c:v>22</c:v>
                </c:pt>
                <c:pt idx="3">
                  <c:v>23</c:v>
                </c:pt>
                <c:pt idx="4">
                  <c:v>20</c:v>
                </c:pt>
                <c:pt idx="5">
                  <c:v>20</c:v>
                </c:pt>
                <c:pt idx="6">
                  <c:v>10</c:v>
                </c:pt>
                <c:pt idx="7">
                  <c:v>19</c:v>
                </c:pt>
                <c:pt idx="8">
                  <c:v>15</c:v>
                </c:pt>
                <c:pt idx="9">
                  <c:v>18</c:v>
                </c:pt>
                <c:pt idx="10">
                  <c:v>9</c:v>
                </c:pt>
                <c:pt idx="11">
                  <c:v>5</c:v>
                </c:pt>
                <c:pt idx="12">
                  <c:v>14</c:v>
                </c:pt>
                <c:pt idx="13">
                  <c:v>18</c:v>
                </c:pt>
                <c:pt idx="14">
                  <c:v>6</c:v>
                </c:pt>
                <c:pt idx="15">
                  <c:v>9</c:v>
                </c:pt>
                <c:pt idx="16">
                  <c:v>24</c:v>
                </c:pt>
                <c:pt idx="17">
                  <c:v>25</c:v>
                </c:pt>
                <c:pt idx="18">
                  <c:v>12</c:v>
                </c:pt>
                <c:pt idx="19">
                  <c:v>6</c:v>
                </c:pt>
                <c:pt idx="20">
                  <c:v>25</c:v>
                </c:pt>
                <c:pt idx="21">
                  <c:v>6</c:v>
                </c:pt>
                <c:pt idx="22">
                  <c:v>9</c:v>
                </c:pt>
                <c:pt idx="23">
                  <c:v>20</c:v>
                </c:pt>
                <c:pt idx="24">
                  <c:v>14</c:v>
                </c:pt>
                <c:pt idx="25">
                  <c:v>19</c:v>
                </c:pt>
                <c:pt idx="26">
                  <c:v>21</c:v>
                </c:pt>
                <c:pt idx="27">
                  <c:v>7</c:v>
                </c:pt>
                <c:pt idx="28">
                  <c:v>11</c:v>
                </c:pt>
                <c:pt idx="29">
                  <c:v>20</c:v>
                </c:pt>
              </c:numCache>
            </c:numRef>
          </c:xVal>
          <c:yVal>
            <c:numRef>
              <c:f>Mayo30!$C$31:$C$60</c:f>
              <c:numCache>
                <c:formatCode>General</c:formatCode>
                <c:ptCount val="30"/>
                <c:pt idx="0">
                  <c:v>2.84</c:v>
                </c:pt>
                <c:pt idx="1">
                  <c:v>3.2</c:v>
                </c:pt>
                <c:pt idx="2">
                  <c:v>2.1800000000000002</c:v>
                </c:pt>
                <c:pt idx="3">
                  <c:v>2.12</c:v>
                </c:pt>
                <c:pt idx="4">
                  <c:v>2.5499999999999998</c:v>
                </c:pt>
                <c:pt idx="5">
                  <c:v>2.2400000000000002</c:v>
                </c:pt>
                <c:pt idx="6">
                  <c:v>2.9</c:v>
                </c:pt>
                <c:pt idx="7">
                  <c:v>2.36</c:v>
                </c:pt>
                <c:pt idx="8">
                  <c:v>2.6</c:v>
                </c:pt>
                <c:pt idx="9">
                  <c:v>2.42</c:v>
                </c:pt>
                <c:pt idx="10">
                  <c:v>2.85</c:v>
                </c:pt>
                <c:pt idx="11">
                  <c:v>3.35</c:v>
                </c:pt>
                <c:pt idx="12">
                  <c:v>2.6</c:v>
                </c:pt>
                <c:pt idx="13">
                  <c:v>2.35</c:v>
                </c:pt>
                <c:pt idx="14">
                  <c:v>3.14</c:v>
                </c:pt>
                <c:pt idx="15">
                  <c:v>3.05</c:v>
                </c:pt>
                <c:pt idx="16">
                  <c:v>2.06</c:v>
                </c:pt>
                <c:pt idx="17">
                  <c:v>2</c:v>
                </c:pt>
                <c:pt idx="18">
                  <c:v>2.78</c:v>
                </c:pt>
                <c:pt idx="19">
                  <c:v>2.9</c:v>
                </c:pt>
                <c:pt idx="20">
                  <c:v>1.85</c:v>
                </c:pt>
                <c:pt idx="21">
                  <c:v>3.14</c:v>
                </c:pt>
                <c:pt idx="22">
                  <c:v>2.96</c:v>
                </c:pt>
                <c:pt idx="23">
                  <c:v>2.2999999999999998</c:v>
                </c:pt>
                <c:pt idx="24">
                  <c:v>2.66</c:v>
                </c:pt>
                <c:pt idx="25">
                  <c:v>2.36</c:v>
                </c:pt>
                <c:pt idx="26">
                  <c:v>2.2400000000000002</c:v>
                </c:pt>
                <c:pt idx="27">
                  <c:v>3.08</c:v>
                </c:pt>
                <c:pt idx="28">
                  <c:v>2.84</c:v>
                </c:pt>
                <c:pt idx="29">
                  <c:v>2.4500000000000002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39-4373-BE4E-BD310BFCA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808479"/>
        <c:axId val="1638609631"/>
      </c:scatterChart>
      <c:valAx>
        <c:axId val="340808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8609631"/>
        <c:crosses val="autoZero"/>
        <c:crossBetween val="midCat"/>
      </c:valAx>
      <c:valAx>
        <c:axId val="16386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080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Mayo30!$D$64</c:f>
              <c:strCache>
                <c:ptCount val="1"/>
                <c:pt idx="0">
                  <c:v>VENTAS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029529731248406E-2"/>
                  <c:y val="0.322465074299016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Mayo30!$C$65:$C$70</c:f>
              <c:numCache>
                <c:formatCode>General</c:formatCode>
                <c:ptCount val="6"/>
                <c:pt idx="0">
                  <c:v>5</c:v>
                </c:pt>
                <c:pt idx="1">
                  <c:v>9</c:v>
                </c:pt>
                <c:pt idx="2">
                  <c:v>12</c:v>
                </c:pt>
                <c:pt idx="3">
                  <c:v>11</c:v>
                </c:pt>
                <c:pt idx="4">
                  <c:v>17</c:v>
                </c:pt>
                <c:pt idx="5">
                  <c:v>14</c:v>
                </c:pt>
              </c:numCache>
            </c:numRef>
          </c:xVal>
          <c:yVal>
            <c:numRef>
              <c:f>Mayo30!$D$65:$D$70</c:f>
              <c:numCache>
                <c:formatCode>General</c:formatCode>
                <c:ptCount val="6"/>
                <c:pt idx="0">
                  <c:v>2.4</c:v>
                </c:pt>
                <c:pt idx="1">
                  <c:v>5.7</c:v>
                </c:pt>
                <c:pt idx="2">
                  <c:v>9.8000000000000007</c:v>
                </c:pt>
                <c:pt idx="3">
                  <c:v>10.4</c:v>
                </c:pt>
                <c:pt idx="4">
                  <c:v>15.3</c:v>
                </c:pt>
                <c:pt idx="5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3-4140-828C-A672EACC3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521647"/>
        <c:axId val="380128383"/>
      </c:scatterChart>
      <c:valAx>
        <c:axId val="34152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0128383"/>
        <c:crosses val="autoZero"/>
        <c:crossBetween val="midCat"/>
      </c:valAx>
      <c:valAx>
        <c:axId val="38012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152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Mayo30!$D$110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Mayo30!$C$111:$C$122</c:f>
              <c:numCache>
                <c:formatCode>General</c:formatCode>
                <c:ptCount val="12"/>
                <c:pt idx="0">
                  <c:v>64</c:v>
                </c:pt>
                <c:pt idx="1">
                  <c:v>71</c:v>
                </c:pt>
                <c:pt idx="2">
                  <c:v>53</c:v>
                </c:pt>
                <c:pt idx="3">
                  <c:v>67</c:v>
                </c:pt>
                <c:pt idx="4">
                  <c:v>55</c:v>
                </c:pt>
                <c:pt idx="5">
                  <c:v>58</c:v>
                </c:pt>
                <c:pt idx="6">
                  <c:v>77</c:v>
                </c:pt>
                <c:pt idx="7">
                  <c:v>57</c:v>
                </c:pt>
                <c:pt idx="8">
                  <c:v>56</c:v>
                </c:pt>
                <c:pt idx="9">
                  <c:v>51</c:v>
                </c:pt>
                <c:pt idx="10">
                  <c:v>76</c:v>
                </c:pt>
                <c:pt idx="11">
                  <c:v>68</c:v>
                </c:pt>
              </c:numCache>
            </c:numRef>
          </c:xVal>
          <c:yVal>
            <c:numRef>
              <c:f>Mayo30!$D$111:$D$122</c:f>
              <c:numCache>
                <c:formatCode>General</c:formatCode>
                <c:ptCount val="12"/>
                <c:pt idx="0">
                  <c:v>57</c:v>
                </c:pt>
                <c:pt idx="1">
                  <c:v>59</c:v>
                </c:pt>
                <c:pt idx="2">
                  <c:v>49</c:v>
                </c:pt>
                <c:pt idx="3">
                  <c:v>62</c:v>
                </c:pt>
                <c:pt idx="4">
                  <c:v>51</c:v>
                </c:pt>
                <c:pt idx="5">
                  <c:v>50</c:v>
                </c:pt>
                <c:pt idx="6">
                  <c:v>55</c:v>
                </c:pt>
                <c:pt idx="7">
                  <c:v>48</c:v>
                </c:pt>
                <c:pt idx="8">
                  <c:v>52</c:v>
                </c:pt>
                <c:pt idx="9">
                  <c:v>42</c:v>
                </c:pt>
                <c:pt idx="10">
                  <c:v>61</c:v>
                </c:pt>
                <c:pt idx="11">
                  <c:v>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A2-42A8-917D-9A3192A9B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492975"/>
        <c:axId val="1554798063"/>
      </c:scatterChart>
      <c:valAx>
        <c:axId val="387492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4798063"/>
        <c:crosses val="autoZero"/>
        <c:crossBetween val="midCat"/>
      </c:valAx>
      <c:valAx>
        <c:axId val="15547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7492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Mayo30!$E$110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Mayo30!$C$111:$C$122</c:f>
              <c:numCache>
                <c:formatCode>General</c:formatCode>
                <c:ptCount val="12"/>
                <c:pt idx="0">
                  <c:v>64</c:v>
                </c:pt>
                <c:pt idx="1">
                  <c:v>71</c:v>
                </c:pt>
                <c:pt idx="2">
                  <c:v>53</c:v>
                </c:pt>
                <c:pt idx="3">
                  <c:v>67</c:v>
                </c:pt>
                <c:pt idx="4">
                  <c:v>55</c:v>
                </c:pt>
                <c:pt idx="5">
                  <c:v>58</c:v>
                </c:pt>
                <c:pt idx="6">
                  <c:v>77</c:v>
                </c:pt>
                <c:pt idx="7">
                  <c:v>57</c:v>
                </c:pt>
                <c:pt idx="8">
                  <c:v>56</c:v>
                </c:pt>
                <c:pt idx="9">
                  <c:v>51</c:v>
                </c:pt>
                <c:pt idx="10">
                  <c:v>76</c:v>
                </c:pt>
                <c:pt idx="11">
                  <c:v>68</c:v>
                </c:pt>
              </c:numCache>
            </c:numRef>
          </c:xVal>
          <c:yVal>
            <c:numRef>
              <c:f>Mayo30!$E$111:$E$122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6</c:v>
                </c:pt>
                <c:pt idx="10">
                  <c:v>12</c:v>
                </c:pt>
                <c:pt idx="1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F-49CC-9D9B-E58FEFE2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075551"/>
        <c:axId val="1632055375"/>
      </c:scatterChart>
      <c:valAx>
        <c:axId val="34107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2055375"/>
        <c:crosses val="autoZero"/>
        <c:crossBetween val="midCat"/>
      </c:valAx>
      <c:valAx>
        <c:axId val="163205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107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'Junio 3'!$D$8</c:f>
              <c:strCache>
                <c:ptCount val="1"/>
                <c:pt idx="0">
                  <c:v>Ganancias (miles $)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8300757376211437E-2"/>
                  <c:y val="0.31113352726766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'Junio 3'!$C$9:$C$18</c:f>
              <c:numCache>
                <c:formatCode>General</c:formatCode>
                <c:ptCount val="10"/>
                <c:pt idx="0">
                  <c:v>400</c:v>
                </c:pt>
                <c:pt idx="1">
                  <c:v>350</c:v>
                </c:pt>
                <c:pt idx="2">
                  <c:v>380</c:v>
                </c:pt>
                <c:pt idx="3">
                  <c:v>440</c:v>
                </c:pt>
                <c:pt idx="4">
                  <c:v>500</c:v>
                </c:pt>
                <c:pt idx="5">
                  <c:v>580</c:v>
                </c:pt>
                <c:pt idx="6">
                  <c:v>640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</c:numCache>
            </c:numRef>
          </c:xVal>
          <c:yVal>
            <c:numRef>
              <c:f>'Junio 3'!$D$9:$D$18</c:f>
              <c:numCache>
                <c:formatCode>General</c:formatCode>
                <c:ptCount val="10"/>
                <c:pt idx="0">
                  <c:v>200</c:v>
                </c:pt>
                <c:pt idx="1">
                  <c:v>150</c:v>
                </c:pt>
                <c:pt idx="2">
                  <c:v>130</c:v>
                </c:pt>
                <c:pt idx="3">
                  <c:v>320</c:v>
                </c:pt>
                <c:pt idx="4">
                  <c:v>450</c:v>
                </c:pt>
                <c:pt idx="5">
                  <c:v>550</c:v>
                </c:pt>
                <c:pt idx="6">
                  <c:v>580</c:v>
                </c:pt>
                <c:pt idx="7">
                  <c:v>600</c:v>
                </c:pt>
                <c:pt idx="8">
                  <c:v>680</c:v>
                </c:pt>
                <c:pt idx="9">
                  <c:v>720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C-4390-A4CC-75B9C99CB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550640"/>
        <c:axId val="1147278224"/>
      </c:scatterChart>
      <c:valAx>
        <c:axId val="113455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47278224"/>
        <c:crosses val="autoZero"/>
        <c:crossBetween val="midCat"/>
      </c:valAx>
      <c:valAx>
        <c:axId val="11472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3455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Horas de trabajo vs gastos</a:t>
            </a:r>
            <a:r>
              <a:rPr lang="es-MX" baseline="0"/>
              <a:t> indirectos</a:t>
            </a:r>
            <a:endParaRPr lang="es-MX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'Junio 3'!$C$45:$C$50</c:f>
              <c:numCache>
                <c:formatCode>General</c:formatCode>
                <c:ptCount val="6"/>
                <c:pt idx="0">
                  <c:v>45</c:v>
                </c:pt>
                <c:pt idx="1">
                  <c:v>42</c:v>
                </c:pt>
                <c:pt idx="2">
                  <c:v>44</c:v>
                </c:pt>
                <c:pt idx="3">
                  <c:v>45</c:v>
                </c:pt>
                <c:pt idx="4">
                  <c:v>43</c:v>
                </c:pt>
                <c:pt idx="5">
                  <c:v>46</c:v>
                </c:pt>
              </c:numCache>
            </c:numRef>
          </c:xVal>
          <c:yVal>
            <c:numRef>
              <c:f>'Junio 3'!$E$45:$E$51</c:f>
              <c:numCache>
                <c:formatCode>General</c:formatCode>
                <c:ptCount val="7"/>
                <c:pt idx="0">
                  <c:v>29</c:v>
                </c:pt>
                <c:pt idx="1">
                  <c:v>24</c:v>
                </c:pt>
                <c:pt idx="2">
                  <c:v>27</c:v>
                </c:pt>
                <c:pt idx="3">
                  <c:v>25</c:v>
                </c:pt>
                <c:pt idx="4">
                  <c:v>26</c:v>
                </c:pt>
                <c:pt idx="5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CA-4ECE-957A-4123AC08D462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'Junio 3'!$C$45:$C$50</c:f>
              <c:numCache>
                <c:formatCode>General</c:formatCode>
                <c:ptCount val="6"/>
                <c:pt idx="0">
                  <c:v>45</c:v>
                </c:pt>
                <c:pt idx="1">
                  <c:v>42</c:v>
                </c:pt>
                <c:pt idx="2">
                  <c:v>44</c:v>
                </c:pt>
                <c:pt idx="3">
                  <c:v>45</c:v>
                </c:pt>
                <c:pt idx="4">
                  <c:v>43</c:v>
                </c:pt>
                <c:pt idx="5">
                  <c:v>46</c:v>
                </c:pt>
              </c:numCache>
            </c:numRef>
          </c:xVal>
          <c:yVal>
            <c:numRef>
              <c:f>'Junio 3'!$E$45:$E$51</c:f>
              <c:numCache>
                <c:formatCode>General</c:formatCode>
                <c:ptCount val="7"/>
                <c:pt idx="0">
                  <c:v>29</c:v>
                </c:pt>
                <c:pt idx="1">
                  <c:v>24</c:v>
                </c:pt>
                <c:pt idx="2">
                  <c:v>27</c:v>
                </c:pt>
                <c:pt idx="3">
                  <c:v>25</c:v>
                </c:pt>
                <c:pt idx="4">
                  <c:v>26</c:v>
                </c:pt>
                <c:pt idx="5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CA-4ECE-957A-4123AC08D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62416"/>
        <c:axId val="1127118624"/>
      </c:scatterChart>
      <c:valAx>
        <c:axId val="92886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27118624"/>
        <c:crosses val="autoZero"/>
        <c:crossBetween val="midCat"/>
      </c:valAx>
      <c:valAx>
        <c:axId val="112711862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2886241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 i="0" baseline="0">
                <a:effectLst/>
              </a:rPr>
              <a:t>Horas máquina vs gastos indirectos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'Junio 3'!$D$45:$D$50</c:f>
              <c:numCache>
                <c:formatCode>General</c:formatCode>
                <c:ptCount val="6"/>
                <c:pt idx="0">
                  <c:v>16</c:v>
                </c:pt>
                <c:pt idx="1">
                  <c:v>14</c:v>
                </c:pt>
                <c:pt idx="2">
                  <c:v>15</c:v>
                </c:pt>
                <c:pt idx="3">
                  <c:v>13</c:v>
                </c:pt>
                <c:pt idx="4">
                  <c:v>13</c:v>
                </c:pt>
                <c:pt idx="5">
                  <c:v>14</c:v>
                </c:pt>
              </c:numCache>
            </c:numRef>
          </c:xVal>
          <c:yVal>
            <c:numRef>
              <c:f>'Junio 3'!$E$45:$E$51</c:f>
              <c:numCache>
                <c:formatCode>General</c:formatCode>
                <c:ptCount val="7"/>
                <c:pt idx="0">
                  <c:v>29</c:v>
                </c:pt>
                <c:pt idx="1">
                  <c:v>24</c:v>
                </c:pt>
                <c:pt idx="2">
                  <c:v>27</c:v>
                </c:pt>
                <c:pt idx="3">
                  <c:v>25</c:v>
                </c:pt>
                <c:pt idx="4">
                  <c:v>26</c:v>
                </c:pt>
                <c:pt idx="5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4-4FF3-90EA-D012F601F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862416"/>
        <c:axId val="1127118624"/>
      </c:scatterChart>
      <c:valAx>
        <c:axId val="928862416"/>
        <c:scaling>
          <c:orientation val="minMax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27118624"/>
        <c:crosses val="autoZero"/>
        <c:crossBetween val="midCat"/>
      </c:valAx>
      <c:valAx>
        <c:axId val="11271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2886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Química y Estadística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B)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829658792650919"/>
                  <c:y val="0.200489574219889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Quizz!$C$6:$C$13</c:f>
              <c:numCache>
                <c:formatCode>General</c:formatCode>
                <c:ptCount val="8"/>
                <c:pt idx="0">
                  <c:v>8.5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</c:numCache>
            </c:numRef>
          </c:xVal>
          <c:yVal>
            <c:numRef>
              <c:f>Quizz!$B$6:$B$13</c:f>
              <c:numCache>
                <c:formatCode>General</c:formatCode>
                <c:ptCount val="8"/>
                <c:pt idx="0">
                  <c:v>9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E5-4E9E-9588-2BBACEB96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447647"/>
        <c:axId val="107249078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Quizz!$B$31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1E5-4E9E-9588-2BBACEB96E5C}"/>
                  </c:ext>
                </c:extLst>
              </c15:ser>
            </c15:filteredScatterSeries>
          </c:ext>
        </c:extLst>
      </c:scatterChart>
      <c:valAx>
        <c:axId val="108944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490783"/>
        <c:crosses val="autoZero"/>
        <c:crossBetween val="midCat"/>
      </c:valAx>
      <c:valAx>
        <c:axId val="107249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8944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Estadística vs Horas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Quizz!$B$6:$B$13</c:f>
              <c:numCache>
                <c:formatCode>General</c:formatCode>
                <c:ptCount val="8"/>
                <c:pt idx="0">
                  <c:v>9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</c:numCache>
            </c:numRef>
          </c:xVal>
          <c:yVal>
            <c:numRef>
              <c:f>Quizz!$E$6:$E$13</c:f>
              <c:numCache>
                <c:formatCode>General</c:formatCode>
                <c:ptCount val="8"/>
                <c:pt idx="0">
                  <c:v>5</c:v>
                </c:pt>
                <c:pt idx="1">
                  <c:v>0.2</c:v>
                </c:pt>
                <c:pt idx="2">
                  <c:v>2</c:v>
                </c:pt>
                <c:pt idx="3">
                  <c:v>5.5</c:v>
                </c:pt>
                <c:pt idx="4">
                  <c:v>1.5</c:v>
                </c:pt>
                <c:pt idx="5">
                  <c:v>1.5</c:v>
                </c:pt>
                <c:pt idx="6">
                  <c:v>3</c:v>
                </c:pt>
                <c:pt idx="7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C5-4D99-9DDF-40DB7C1B2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45711"/>
        <c:axId val="1259448015"/>
      </c:scatterChart>
      <c:valAx>
        <c:axId val="108704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59448015"/>
        <c:crosses val="autoZero"/>
        <c:crossBetween val="midCat"/>
      </c:valAx>
      <c:valAx>
        <c:axId val="125944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87045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Química vs</a:t>
            </a:r>
            <a:r>
              <a:rPr lang="es-MX" baseline="0"/>
              <a:t> Horas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Quizz!$C$6:$C$13</c:f>
              <c:numCache>
                <c:formatCode>General</c:formatCode>
                <c:ptCount val="8"/>
                <c:pt idx="0">
                  <c:v>8.5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1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</c:numCache>
            </c:numRef>
          </c:xVal>
          <c:yVal>
            <c:numRef>
              <c:f>Quizz!$E$6:$E$13</c:f>
              <c:numCache>
                <c:formatCode>General</c:formatCode>
                <c:ptCount val="8"/>
                <c:pt idx="0">
                  <c:v>5</c:v>
                </c:pt>
                <c:pt idx="1">
                  <c:v>0.2</c:v>
                </c:pt>
                <c:pt idx="2">
                  <c:v>2</c:v>
                </c:pt>
                <c:pt idx="3">
                  <c:v>5.5</c:v>
                </c:pt>
                <c:pt idx="4">
                  <c:v>1.5</c:v>
                </c:pt>
                <c:pt idx="5">
                  <c:v>1.5</c:v>
                </c:pt>
                <c:pt idx="6">
                  <c:v>3</c:v>
                </c:pt>
                <c:pt idx="7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F-4ED4-83A4-860DF1D80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21711"/>
        <c:axId val="1264598703"/>
      </c:scatterChart>
      <c:valAx>
        <c:axId val="1087021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64598703"/>
        <c:crosses val="autoZero"/>
        <c:crossBetween val="midCat"/>
      </c:valAx>
      <c:valAx>
        <c:axId val="12645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87021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'Correlación y Regresión'!$B$9</c:f>
              <c:strCache>
                <c:ptCount val="1"/>
                <c:pt idx="0">
                  <c:v>PPB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0467024955213931E-3"/>
                  <c:y val="-0.244413847531033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'Correlación y Regresión'!$C$8:$G$8</c:f>
              <c:numCache>
                <c:formatCode>General</c:formatCod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numCache>
            </c:numRef>
          </c:xVal>
          <c:yVal>
            <c:numRef>
              <c:f>'Correlación y Regresión'!$C$9:$G$9</c:f>
              <c:numCache>
                <c:formatCode>General</c:formatCode>
                <c:ptCount val="5"/>
                <c:pt idx="0">
                  <c:v>12.1</c:v>
                </c:pt>
                <c:pt idx="1">
                  <c:v>8.6999999999999993</c:v>
                </c:pt>
                <c:pt idx="2">
                  <c:v>8.3000000000000007</c:v>
                </c:pt>
                <c:pt idx="3">
                  <c:v>5.8</c:v>
                </c:pt>
                <c:pt idx="4">
                  <c:v>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0-463D-BF02-79DBC890C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743391"/>
        <c:axId val="1244221567"/>
      </c:scatterChart>
      <c:valAx>
        <c:axId val="144274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4221567"/>
        <c:crosses val="autoZero"/>
        <c:crossBetween val="midCat"/>
      </c:valAx>
      <c:valAx>
        <c:axId val="124422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42743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'Junio 6'!$B$6:$B$17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'Junio 6'!$C$6:$C$17</c:f>
              <c:numCache>
                <c:formatCode>General</c:formatCode>
                <c:ptCount val="12"/>
                <c:pt idx="0">
                  <c:v>17</c:v>
                </c:pt>
                <c:pt idx="1">
                  <c:v>21</c:v>
                </c:pt>
                <c:pt idx="2">
                  <c:v>19</c:v>
                </c:pt>
                <c:pt idx="3">
                  <c:v>23</c:v>
                </c:pt>
                <c:pt idx="4">
                  <c:v>18</c:v>
                </c:pt>
                <c:pt idx="5">
                  <c:v>16</c:v>
                </c:pt>
                <c:pt idx="6">
                  <c:v>20</c:v>
                </c:pt>
                <c:pt idx="7">
                  <c:v>18</c:v>
                </c:pt>
                <c:pt idx="8">
                  <c:v>22</c:v>
                </c:pt>
                <c:pt idx="9">
                  <c:v>20</c:v>
                </c:pt>
                <c:pt idx="10">
                  <c:v>15</c:v>
                </c:pt>
                <c:pt idx="11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C-4FA1-B288-C5FC64C9D787}"/>
            </c:ext>
          </c:extLst>
        </c:ser>
        <c:ser>
          <c:idx val="1"/>
          <c:order val="1"/>
          <c:tx>
            <c:strRef>
              <c:f>'Junio 6'!$D$5</c:f>
              <c:strCache>
                <c:ptCount val="1"/>
                <c:pt idx="0">
                  <c:v>Pronóstico PM</c:v>
                </c:pt>
              </c:strCache>
            </c:strRef>
          </c:tx>
          <c:spPr>
            <a:ln w="19050" cap="rnd">
              <a:solidFill>
                <a:srgbClr val="CC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C00FF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C00FF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'Junio 6'!$B$6:$B$18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'Junio 6'!$D$6:$D$18</c:f>
              <c:numCache>
                <c:formatCode>General</c:formatCode>
                <c:ptCount val="13"/>
                <c:pt idx="3">
                  <c:v>19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18</c:v>
                </c:pt>
                <c:pt idx="9">
                  <c:v>20</c:v>
                </c:pt>
                <c:pt idx="10">
                  <c:v>20</c:v>
                </c:pt>
                <c:pt idx="11">
                  <c:v>19</c:v>
                </c:pt>
                <c:pt idx="12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0C-4FA1-B288-C5FC64C9D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047072"/>
        <c:axId val="707565456"/>
      </c:scatterChart>
      <c:valAx>
        <c:axId val="913047072"/>
        <c:scaling>
          <c:orientation val="minMax"/>
          <c:max val="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7565456"/>
        <c:crosses val="autoZero"/>
        <c:crossBetween val="midCat"/>
      </c:valAx>
      <c:valAx>
        <c:axId val="707565456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130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#REF!</c:f>
            </c:numRef>
          </c:xVal>
          <c:yVal>
            <c:numRef>
              <c:f>'Junio 6'!$C$6:$C$17</c:f>
              <c:numCache>
                <c:formatCode>General</c:formatCode>
                <c:ptCount val="12"/>
                <c:pt idx="0">
                  <c:v>17</c:v>
                </c:pt>
                <c:pt idx="1">
                  <c:v>21</c:v>
                </c:pt>
                <c:pt idx="2">
                  <c:v>19</c:v>
                </c:pt>
                <c:pt idx="3">
                  <c:v>23</c:v>
                </c:pt>
                <c:pt idx="4">
                  <c:v>18</c:v>
                </c:pt>
                <c:pt idx="5">
                  <c:v>16</c:v>
                </c:pt>
                <c:pt idx="6">
                  <c:v>20</c:v>
                </c:pt>
                <c:pt idx="7">
                  <c:v>18</c:v>
                </c:pt>
                <c:pt idx="8">
                  <c:v>22</c:v>
                </c:pt>
                <c:pt idx="9">
                  <c:v>20</c:v>
                </c:pt>
                <c:pt idx="10">
                  <c:v>15</c:v>
                </c:pt>
                <c:pt idx="11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34-4B43-BEA4-D2165E0850B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C00FF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934-4B43-BEA4-D2165E085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047072"/>
        <c:axId val="707565456"/>
      </c:scatterChart>
      <c:valAx>
        <c:axId val="913047072"/>
        <c:scaling>
          <c:orientation val="minMax"/>
          <c:max val="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7565456"/>
        <c:crosses val="autoZero"/>
        <c:crossBetween val="midCat"/>
      </c:valAx>
      <c:valAx>
        <c:axId val="707565456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130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Demanda de Fertilizante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9588694512332643E-4"/>
                  <c:y val="-0.341417730407809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'Junio 6'!$B$84:$B$95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'Junio 6'!$E$84:$E$95</c:f>
              <c:numCache>
                <c:formatCode>General</c:formatCode>
                <c:ptCount val="12"/>
                <c:pt idx="3">
                  <c:v>5</c:v>
                </c:pt>
                <c:pt idx="4">
                  <c:v>0.11111111111111091</c:v>
                </c:pt>
                <c:pt idx="5">
                  <c:v>25</c:v>
                </c:pt>
                <c:pt idx="6">
                  <c:v>2.7777777777777786</c:v>
                </c:pt>
                <c:pt idx="7">
                  <c:v>0.44444444444444486</c:v>
                </c:pt>
                <c:pt idx="8">
                  <c:v>0.44444444444444364</c:v>
                </c:pt>
                <c:pt idx="9">
                  <c:v>16</c:v>
                </c:pt>
                <c:pt idx="10">
                  <c:v>21.777777777777771</c:v>
                </c:pt>
                <c:pt idx="11">
                  <c:v>11.111111111111114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81-4111-8C16-00B0A352B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1645184"/>
        <c:axId val="1023663600"/>
      </c:scatterChart>
      <c:valAx>
        <c:axId val="103164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23663600"/>
        <c:crosses val="autoZero"/>
        <c:crossBetween val="midCat"/>
      </c:valAx>
      <c:valAx>
        <c:axId val="102366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Demanda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1645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Transacciones por Mes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Demanda</c:v>
          </c:tx>
          <c:spPr>
            <a:ln>
              <a:solidFill>
                <a:srgbClr val="CC66FF"/>
              </a:solidFill>
            </a:ln>
          </c:spPr>
          <c:marker>
            <c:spPr>
              <a:ln>
                <a:solidFill>
                  <a:srgbClr val="CC66FF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'Junio 6'!$B$57:$B$68</c:f>
              <c:numCache>
                <c:formatCode>mmm\-yy</c:formatCode>
                <c:ptCount val="12"/>
                <c:pt idx="0">
                  <c:v>43647</c:v>
                </c:pt>
                <c:pt idx="1">
                  <c:v>43678</c:v>
                </c:pt>
                <c:pt idx="2">
                  <c:v>43709</c:v>
                </c:pt>
                <c:pt idx="3">
                  <c:v>43739</c:v>
                </c:pt>
                <c:pt idx="4">
                  <c:v>43770</c:v>
                </c:pt>
                <c:pt idx="5">
                  <c:v>43800</c:v>
                </c:pt>
                <c:pt idx="6">
                  <c:v>43831</c:v>
                </c:pt>
                <c:pt idx="7">
                  <c:v>43862</c:v>
                </c:pt>
                <c:pt idx="8">
                  <c:v>43891</c:v>
                </c:pt>
                <c:pt idx="9">
                  <c:v>43922</c:v>
                </c:pt>
                <c:pt idx="10">
                  <c:v>43952</c:v>
                </c:pt>
                <c:pt idx="11">
                  <c:v>43983</c:v>
                </c:pt>
              </c:numCache>
            </c:numRef>
          </c:xVal>
          <c:yVal>
            <c:numRef>
              <c:f>'Junio 6'!$C$57:$C$68</c:f>
              <c:numCache>
                <c:formatCode>General</c:formatCode>
                <c:ptCount val="12"/>
                <c:pt idx="0">
                  <c:v>273.27999999999997</c:v>
                </c:pt>
                <c:pt idx="1">
                  <c:v>286.18</c:v>
                </c:pt>
                <c:pt idx="2">
                  <c:v>307.85000000000002</c:v>
                </c:pt>
                <c:pt idx="3">
                  <c:v>322.37</c:v>
                </c:pt>
                <c:pt idx="4">
                  <c:v>372.1</c:v>
                </c:pt>
                <c:pt idx="5">
                  <c:v>361.67</c:v>
                </c:pt>
                <c:pt idx="6">
                  <c:v>371.97</c:v>
                </c:pt>
                <c:pt idx="7">
                  <c:v>333.55</c:v>
                </c:pt>
                <c:pt idx="8">
                  <c:v>349.12</c:v>
                </c:pt>
                <c:pt idx="9">
                  <c:v>337</c:v>
                </c:pt>
                <c:pt idx="10">
                  <c:v>362.26</c:v>
                </c:pt>
                <c:pt idx="11">
                  <c:v>365.08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63-48B3-8E0A-5FF7D9DE8169}"/>
            </c:ext>
          </c:extLst>
        </c:ser>
        <c:ser>
          <c:idx val="0"/>
          <c:order val="1"/>
          <c:tx>
            <c:v>Pronóstico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'Junio 6'!$B$57:$B$69</c:f>
              <c:numCache>
                <c:formatCode>mmm\-yy</c:formatCode>
                <c:ptCount val="13"/>
                <c:pt idx="0">
                  <c:v>43647</c:v>
                </c:pt>
                <c:pt idx="1">
                  <c:v>43678</c:v>
                </c:pt>
                <c:pt idx="2">
                  <c:v>43709</c:v>
                </c:pt>
                <c:pt idx="3">
                  <c:v>43739</c:v>
                </c:pt>
                <c:pt idx="4">
                  <c:v>43770</c:v>
                </c:pt>
                <c:pt idx="5">
                  <c:v>43800</c:v>
                </c:pt>
                <c:pt idx="6">
                  <c:v>43831</c:v>
                </c:pt>
                <c:pt idx="7">
                  <c:v>43862</c:v>
                </c:pt>
                <c:pt idx="8">
                  <c:v>43891</c:v>
                </c:pt>
                <c:pt idx="9">
                  <c:v>43922</c:v>
                </c:pt>
                <c:pt idx="10">
                  <c:v>43952</c:v>
                </c:pt>
                <c:pt idx="11">
                  <c:v>43983</c:v>
                </c:pt>
                <c:pt idx="12">
                  <c:v>44013</c:v>
                </c:pt>
              </c:numCache>
            </c:numRef>
          </c:xVal>
          <c:yVal>
            <c:numRef>
              <c:f>'Junio 6'!$D$57:$D$69</c:f>
              <c:numCache>
                <c:formatCode>General</c:formatCode>
                <c:ptCount val="13"/>
                <c:pt idx="10">
                  <c:v>331.50900000000001</c:v>
                </c:pt>
                <c:pt idx="11">
                  <c:v>340.40699999999998</c:v>
                </c:pt>
                <c:pt idx="12">
                  <c:v>348.29700000000003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63-48B3-8E0A-5FF7D9DE8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279216"/>
        <c:axId val="833139408"/>
      </c:scatterChart>
      <c:valAx>
        <c:axId val="103727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Meses</a:t>
                </a:r>
              </a:p>
            </c:rich>
          </c:tx>
          <c:overlay val="0"/>
        </c:title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3139408"/>
        <c:crosses val="autoZero"/>
        <c:crossBetween val="midCat"/>
      </c:valAx>
      <c:valAx>
        <c:axId val="833139408"/>
        <c:scaling>
          <c:orientation val="minMax"/>
          <c:min val="2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MX"/>
                  <a:t>Precio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727921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Pronósticos de Precipitación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'Serie de Tiempo'!$D$7</c:f>
              <c:strCache>
                <c:ptCount val="1"/>
                <c:pt idx="0">
                  <c:v>PRECIPITACIÓN (mm)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'Serie de Tiempo'!$C$8:$C$20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xVal>
          <c:yVal>
            <c:numRef>
              <c:f>'Serie de Tiempo'!$D$8:$D$20</c:f>
              <c:numCache>
                <c:formatCode>General</c:formatCode>
                <c:ptCount val="13"/>
                <c:pt idx="0">
                  <c:v>72</c:v>
                </c:pt>
                <c:pt idx="1">
                  <c:v>80</c:v>
                </c:pt>
                <c:pt idx="2">
                  <c:v>22</c:v>
                </c:pt>
                <c:pt idx="3">
                  <c:v>9</c:v>
                </c:pt>
                <c:pt idx="4">
                  <c:v>163</c:v>
                </c:pt>
                <c:pt idx="5">
                  <c:v>65</c:v>
                </c:pt>
                <c:pt idx="6">
                  <c:v>187</c:v>
                </c:pt>
                <c:pt idx="7">
                  <c:v>319</c:v>
                </c:pt>
                <c:pt idx="8">
                  <c:v>236</c:v>
                </c:pt>
                <c:pt idx="9">
                  <c:v>201</c:v>
                </c:pt>
                <c:pt idx="10">
                  <c:v>75</c:v>
                </c:pt>
                <c:pt idx="11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6E-450B-B7AF-9AE30E7B16C3}"/>
            </c:ext>
          </c:extLst>
        </c:ser>
        <c:ser>
          <c:idx val="1"/>
          <c:order val="1"/>
          <c:tx>
            <c:strRef>
              <c:f>'Serie de Tiempo'!$E$7</c:f>
              <c:strCache>
                <c:ptCount val="1"/>
                <c:pt idx="0">
                  <c:v>Pronóstico PM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'Serie de Tiempo'!$C$8:$C$20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xVal>
          <c:yVal>
            <c:numRef>
              <c:f>'Serie de Tiempo'!$E$8:$E$20</c:f>
              <c:numCache>
                <c:formatCode>General</c:formatCode>
                <c:ptCount val="13"/>
                <c:pt idx="2">
                  <c:v>76</c:v>
                </c:pt>
                <c:pt idx="3">
                  <c:v>51</c:v>
                </c:pt>
                <c:pt idx="4">
                  <c:v>15.5</c:v>
                </c:pt>
                <c:pt idx="5">
                  <c:v>86</c:v>
                </c:pt>
                <c:pt idx="6">
                  <c:v>114</c:v>
                </c:pt>
                <c:pt idx="7">
                  <c:v>126</c:v>
                </c:pt>
                <c:pt idx="8">
                  <c:v>253</c:v>
                </c:pt>
                <c:pt idx="9">
                  <c:v>277.5</c:v>
                </c:pt>
                <c:pt idx="10">
                  <c:v>218.5</c:v>
                </c:pt>
                <c:pt idx="11">
                  <c:v>138</c:v>
                </c:pt>
                <c:pt idx="12">
                  <c:v>89.5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6E-450B-B7AF-9AE30E7B16C3}"/>
            </c:ext>
          </c:extLst>
        </c:ser>
        <c:ser>
          <c:idx val="2"/>
          <c:order val="2"/>
          <c:tx>
            <c:strRef>
              <c:f>'Serie de Tiempo'!$G$7</c:f>
              <c:strCache>
                <c:ptCount val="1"/>
                <c:pt idx="0">
                  <c:v>Pronóstico PM 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'Serie de Tiempo'!$C$8:$C$20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xVal>
          <c:yVal>
            <c:numRef>
              <c:f>'Serie de Tiempo'!$G$8:$G$20</c:f>
              <c:numCache>
                <c:formatCode>General</c:formatCode>
                <c:ptCount val="13"/>
                <c:pt idx="4">
                  <c:v>45.75</c:v>
                </c:pt>
                <c:pt idx="5">
                  <c:v>68.5</c:v>
                </c:pt>
                <c:pt idx="6">
                  <c:v>64.75</c:v>
                </c:pt>
                <c:pt idx="7">
                  <c:v>106</c:v>
                </c:pt>
                <c:pt idx="8">
                  <c:v>183.5</c:v>
                </c:pt>
                <c:pt idx="9">
                  <c:v>201.75</c:v>
                </c:pt>
                <c:pt idx="10">
                  <c:v>235.75</c:v>
                </c:pt>
                <c:pt idx="11">
                  <c:v>207.75</c:v>
                </c:pt>
                <c:pt idx="12">
                  <c:v>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6E-450B-B7AF-9AE30E7B16C3}"/>
            </c:ext>
          </c:extLst>
        </c:ser>
        <c:ser>
          <c:idx val="3"/>
          <c:order val="3"/>
          <c:tx>
            <c:strRef>
              <c:f>'Serie de Tiempo'!$I$7</c:f>
              <c:strCache>
                <c:ptCount val="1"/>
                <c:pt idx="0">
                  <c:v>Pronóstico PM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'Serie de Tiempo'!$C$8:$C$20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xVal>
          <c:yVal>
            <c:numRef>
              <c:f>'Serie de Tiempo'!$I$8:$I$20</c:f>
              <c:numCache>
                <c:formatCode>General</c:formatCode>
                <c:ptCount val="13"/>
                <c:pt idx="5">
                  <c:v>69.2</c:v>
                </c:pt>
                <c:pt idx="6">
                  <c:v>67.8</c:v>
                </c:pt>
                <c:pt idx="7">
                  <c:v>89.2</c:v>
                </c:pt>
                <c:pt idx="8">
                  <c:v>148.6</c:v>
                </c:pt>
                <c:pt idx="9">
                  <c:v>194</c:v>
                </c:pt>
                <c:pt idx="10">
                  <c:v>201.6</c:v>
                </c:pt>
                <c:pt idx="11">
                  <c:v>203.6</c:v>
                </c:pt>
                <c:pt idx="12">
                  <c:v>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6E-450B-B7AF-9AE30E7B1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9324975"/>
        <c:axId val="927032655"/>
      </c:scatterChart>
      <c:valAx>
        <c:axId val="659324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27032655"/>
        <c:crosses val="autoZero"/>
        <c:crossBetween val="midCat"/>
      </c:valAx>
      <c:valAx>
        <c:axId val="92703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9324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Pronósticos de</a:t>
            </a:r>
            <a:r>
              <a:rPr lang="es-MX" baseline="0"/>
              <a:t> Humedad Relativa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'Serie de Tiempo'!$D$23</c:f>
              <c:strCache>
                <c:ptCount val="1"/>
                <c:pt idx="0">
                  <c:v>HUMEDAD RELATIVA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'Serie de Tiempo'!$C$24:$C$36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xVal>
          <c:yVal>
            <c:numRef>
              <c:f>'Serie de Tiempo'!$D$24:$D$36</c:f>
              <c:numCache>
                <c:formatCode>General</c:formatCode>
                <c:ptCount val="13"/>
                <c:pt idx="0">
                  <c:v>94</c:v>
                </c:pt>
                <c:pt idx="1">
                  <c:v>91</c:v>
                </c:pt>
                <c:pt idx="2">
                  <c:v>86</c:v>
                </c:pt>
                <c:pt idx="3">
                  <c:v>90</c:v>
                </c:pt>
                <c:pt idx="4">
                  <c:v>95</c:v>
                </c:pt>
                <c:pt idx="5">
                  <c:v>88</c:v>
                </c:pt>
                <c:pt idx="6">
                  <c:v>99</c:v>
                </c:pt>
                <c:pt idx="7">
                  <c:v>95</c:v>
                </c:pt>
                <c:pt idx="8">
                  <c:v>90</c:v>
                </c:pt>
                <c:pt idx="9">
                  <c:v>93</c:v>
                </c:pt>
                <c:pt idx="10">
                  <c:v>87</c:v>
                </c:pt>
                <c:pt idx="1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45-4164-877A-66E58E71679E}"/>
            </c:ext>
          </c:extLst>
        </c:ser>
        <c:ser>
          <c:idx val="1"/>
          <c:order val="1"/>
          <c:tx>
            <c:strRef>
              <c:f>'Serie de Tiempo'!$E$23</c:f>
              <c:strCache>
                <c:ptCount val="1"/>
                <c:pt idx="0">
                  <c:v>Pronóstico PM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'Serie de Tiempo'!$C$24:$C$36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xVal>
          <c:yVal>
            <c:numRef>
              <c:f>'Serie de Tiempo'!$E$24:$E$36</c:f>
              <c:numCache>
                <c:formatCode>General</c:formatCode>
                <c:ptCount val="13"/>
                <c:pt idx="2">
                  <c:v>92.5</c:v>
                </c:pt>
                <c:pt idx="3">
                  <c:v>88.5</c:v>
                </c:pt>
                <c:pt idx="4">
                  <c:v>88</c:v>
                </c:pt>
                <c:pt idx="5">
                  <c:v>92.5</c:v>
                </c:pt>
                <c:pt idx="6">
                  <c:v>91.5</c:v>
                </c:pt>
                <c:pt idx="7">
                  <c:v>93.5</c:v>
                </c:pt>
                <c:pt idx="8">
                  <c:v>97</c:v>
                </c:pt>
                <c:pt idx="9">
                  <c:v>92.5</c:v>
                </c:pt>
                <c:pt idx="10">
                  <c:v>91.5</c:v>
                </c:pt>
                <c:pt idx="11">
                  <c:v>90</c:v>
                </c:pt>
                <c:pt idx="12">
                  <c:v>88.5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45-4164-877A-66E58E71679E}"/>
            </c:ext>
          </c:extLst>
        </c:ser>
        <c:ser>
          <c:idx val="2"/>
          <c:order val="2"/>
          <c:tx>
            <c:strRef>
              <c:f>'Serie de Tiempo'!$G$23</c:f>
              <c:strCache>
                <c:ptCount val="1"/>
                <c:pt idx="0">
                  <c:v>Pronóstico PM 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'Serie de Tiempo'!$C$24:$C$36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xVal>
          <c:yVal>
            <c:numRef>
              <c:f>'Serie de Tiempo'!$G$24:$G$36</c:f>
              <c:numCache>
                <c:formatCode>General</c:formatCode>
                <c:ptCount val="13"/>
                <c:pt idx="4">
                  <c:v>90.25</c:v>
                </c:pt>
                <c:pt idx="5">
                  <c:v>90.5</c:v>
                </c:pt>
                <c:pt idx="6">
                  <c:v>89.75</c:v>
                </c:pt>
                <c:pt idx="7">
                  <c:v>93</c:v>
                </c:pt>
                <c:pt idx="8">
                  <c:v>94.25</c:v>
                </c:pt>
                <c:pt idx="9">
                  <c:v>93</c:v>
                </c:pt>
                <c:pt idx="10">
                  <c:v>94.25</c:v>
                </c:pt>
                <c:pt idx="11">
                  <c:v>91.25</c:v>
                </c:pt>
                <c:pt idx="12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45-4164-877A-66E58E71679E}"/>
            </c:ext>
          </c:extLst>
        </c:ser>
        <c:ser>
          <c:idx val="3"/>
          <c:order val="3"/>
          <c:tx>
            <c:strRef>
              <c:f>'Serie de Tiempo'!$I$23</c:f>
              <c:strCache>
                <c:ptCount val="1"/>
                <c:pt idx="0">
                  <c:v>Pronóstico PM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'Serie de Tiempo'!$C$24:$C$36</c:f>
              <c:numCache>
                <c:formatCode>mmm\-yy</c:formatCode>
                <c:ptCount val="13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</c:numCache>
            </c:numRef>
          </c:xVal>
          <c:yVal>
            <c:numRef>
              <c:f>'Serie de Tiempo'!$I$24:$I$36</c:f>
              <c:numCache>
                <c:formatCode>General</c:formatCode>
                <c:ptCount val="13"/>
                <c:pt idx="5">
                  <c:v>91.2</c:v>
                </c:pt>
                <c:pt idx="6">
                  <c:v>90</c:v>
                </c:pt>
                <c:pt idx="7">
                  <c:v>91.6</c:v>
                </c:pt>
                <c:pt idx="8">
                  <c:v>93.4</c:v>
                </c:pt>
                <c:pt idx="9">
                  <c:v>93.4</c:v>
                </c:pt>
                <c:pt idx="10">
                  <c:v>93</c:v>
                </c:pt>
                <c:pt idx="11">
                  <c:v>92.8</c:v>
                </c:pt>
                <c:pt idx="12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45-4164-877A-66E58E716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42223"/>
        <c:axId val="816624799"/>
      </c:scatterChart>
      <c:valAx>
        <c:axId val="2116942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16624799"/>
        <c:crosses val="autoZero"/>
        <c:crossBetween val="midCat"/>
      </c:valAx>
      <c:valAx>
        <c:axId val="81662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16942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0.xml"/><Relationship Id="rId2" Type="http://schemas.openxmlformats.org/officeDocument/2006/relationships/image" Target="../media/image19.png"/><Relationship Id="rId1" Type="http://schemas.openxmlformats.org/officeDocument/2006/relationships/chart" Target="../charts/chart16.xml"/><Relationship Id="rId6" Type="http://schemas.openxmlformats.org/officeDocument/2006/relationships/chart" Target="../charts/chart19.xml"/><Relationship Id="rId5" Type="http://schemas.openxmlformats.org/officeDocument/2006/relationships/image" Target="../media/image20.png"/><Relationship Id="rId4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chart" Target="../charts/chart31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0.xml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573763</xdr:colOff>
      <xdr:row>4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B23535-7314-4574-B6DD-BEC8AF02D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2859763" cy="752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588491</xdr:colOff>
      <xdr:row>6</xdr:row>
      <xdr:rowOff>121379</xdr:rowOff>
    </xdr:from>
    <xdr:to>
      <xdr:col>12</xdr:col>
      <xdr:colOff>588491</xdr:colOff>
      <xdr:row>21</xdr:row>
      <xdr:rowOff>7079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EE94D2-2755-42AD-AEF6-9400AF235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292763</xdr:colOff>
      <xdr:row>6</xdr:row>
      <xdr:rowOff>109432</xdr:rowOff>
    </xdr:from>
    <xdr:to>
      <xdr:col>17</xdr:col>
      <xdr:colOff>675857</xdr:colOff>
      <xdr:row>20</xdr:row>
      <xdr:rowOff>185633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4B9160C-812D-43E7-8629-EFF1B3ABB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603679</xdr:colOff>
      <xdr:row>24</xdr:row>
      <xdr:rowOff>31405</xdr:rowOff>
    </xdr:from>
    <xdr:to>
      <xdr:col>12</xdr:col>
      <xdr:colOff>619125</xdr:colOff>
      <xdr:row>38</xdr:row>
      <xdr:rowOff>71565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8E3BF2E-7435-465C-9510-C1D7B995F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116896</xdr:colOff>
      <xdr:row>88</xdr:row>
      <xdr:rowOff>151534</xdr:rowOff>
    </xdr:from>
    <xdr:to>
      <xdr:col>6</xdr:col>
      <xdr:colOff>1718640</xdr:colOff>
      <xdr:row>109</xdr:row>
      <xdr:rowOff>60238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EC1B740-18F7-4B1E-85CB-F7F197709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133454</xdr:colOff>
      <xdr:row>111</xdr:row>
      <xdr:rowOff>179736</xdr:rowOff>
    </xdr:from>
    <xdr:to>
      <xdr:col>6</xdr:col>
      <xdr:colOff>1647567</xdr:colOff>
      <xdr:row>132</xdr:row>
      <xdr:rowOff>102974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0F15595-44A3-484D-AFDB-081868B59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634617</xdr:colOff>
      <xdr:row>51</xdr:row>
      <xdr:rowOff>171909</xdr:rowOff>
    </xdr:from>
    <xdr:to>
      <xdr:col>14</xdr:col>
      <xdr:colOff>1178575</xdr:colOff>
      <xdr:row>65</xdr:row>
      <xdr:rowOff>183844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6DA12D0-DBA0-411E-8B7E-608FAADB1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509238</xdr:colOff>
      <xdr:row>24</xdr:row>
      <xdr:rowOff>3632</xdr:rowOff>
    </xdr:from>
    <xdr:to>
      <xdr:col>15</xdr:col>
      <xdr:colOff>75903</xdr:colOff>
      <xdr:row>38</xdr:row>
      <xdr:rowOff>111369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7EE0BF-9E43-4820-A511-076D0D1DA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513092</xdr:colOff>
      <xdr:row>24</xdr:row>
      <xdr:rowOff>99217</xdr:rowOff>
    </xdr:from>
    <xdr:to>
      <xdr:col>20</xdr:col>
      <xdr:colOff>57568</xdr:colOff>
      <xdr:row>38</xdr:row>
      <xdr:rowOff>150713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2097514-5A47-48F7-86D5-9F362BA2E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519544</xdr:colOff>
      <xdr:row>99</xdr:row>
      <xdr:rowOff>34636</xdr:rowOff>
    </xdr:from>
    <xdr:to>
      <xdr:col>18</xdr:col>
      <xdr:colOff>467590</xdr:colOff>
      <xdr:row>127</xdr:row>
      <xdr:rowOff>86589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0F6A93F-73EB-4845-ACD1-B85A90899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584911</xdr:colOff>
      <xdr:row>98</xdr:row>
      <xdr:rowOff>131176</xdr:rowOff>
    </xdr:from>
    <xdr:to>
      <xdr:col>31</xdr:col>
      <xdr:colOff>197726</xdr:colOff>
      <xdr:row>129</xdr:row>
      <xdr:rowOff>125642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B72420B-0D97-409F-94D2-F76E8FB08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323452</xdr:colOff>
      <xdr:row>205</xdr:row>
      <xdr:rowOff>116681</xdr:rowOff>
    </xdr:from>
    <xdr:to>
      <xdr:col>16</xdr:col>
      <xdr:colOff>555626</xdr:colOff>
      <xdr:row>224</xdr:row>
      <xdr:rowOff>138905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7028746-8087-4168-8E87-89AA1F84F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182254</xdr:colOff>
      <xdr:row>205</xdr:row>
      <xdr:rowOff>110575</xdr:rowOff>
    </xdr:from>
    <xdr:to>
      <xdr:col>25</xdr:col>
      <xdr:colOff>477776</xdr:colOff>
      <xdr:row>224</xdr:row>
      <xdr:rowOff>172488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45E98D8-CAD8-47FB-BC2F-E397B6217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998139</xdr:colOff>
      <xdr:row>51</xdr:row>
      <xdr:rowOff>57150</xdr:rowOff>
    </xdr:from>
    <xdr:to>
      <xdr:col>15</xdr:col>
      <xdr:colOff>1541858</xdr:colOff>
      <xdr:row>65</xdr:row>
      <xdr:rowOff>22225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551BB3C-67D9-4860-9BC6-4B583599D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901211</xdr:colOff>
      <xdr:row>145</xdr:row>
      <xdr:rowOff>148735</xdr:rowOff>
    </xdr:from>
    <xdr:to>
      <xdr:col>17</xdr:col>
      <xdr:colOff>146537</xdr:colOff>
      <xdr:row>168</xdr:row>
      <xdr:rowOff>54951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DE453BC-E6DA-4C31-A1B0-8F30DDB37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598976</xdr:colOff>
      <xdr:row>242</xdr:row>
      <xdr:rowOff>93784</xdr:rowOff>
    </xdr:from>
    <xdr:to>
      <xdr:col>16</xdr:col>
      <xdr:colOff>641106</xdr:colOff>
      <xdr:row>262</xdr:row>
      <xdr:rowOff>164855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E5342D8-1D3E-4D65-AA16-167990222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756142</xdr:colOff>
      <xdr:row>8</xdr:row>
      <xdr:rowOff>176297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2705C6-8F88-4B5F-B626-B2883DED6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561" y="186939"/>
          <a:ext cx="8411749" cy="924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8902</xdr:colOff>
      <xdr:row>24</xdr:row>
      <xdr:rowOff>4823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D0D3330-3193-42CA-9240-C4034776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561" y="2804089"/>
          <a:ext cx="8430070" cy="752580"/>
        </a:xfrm>
        <a:prstGeom prst="rect">
          <a:avLst/>
        </a:prstGeom>
      </xdr:spPr>
    </xdr:pic>
    <xdr:clientData/>
  </xdr:twoCellAnchor>
  <xdr:twoCellAnchor editAs="oneCell">
    <xdr:from>
      <xdr:col>1</xdr:col>
      <xdr:colOff>26706</xdr:colOff>
      <xdr:row>44</xdr:row>
      <xdr:rowOff>178037</xdr:rowOff>
    </xdr:from>
    <xdr:to>
      <xdr:col>12</xdr:col>
      <xdr:colOff>8902</xdr:colOff>
      <xdr:row>48</xdr:row>
      <xdr:rowOff>20911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8093A88-3BCD-4363-88FA-D24DDAE64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267" y="7281729"/>
          <a:ext cx="8403364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12</xdr:col>
      <xdr:colOff>17804</xdr:colOff>
      <xdr:row>58</xdr:row>
      <xdr:rowOff>182237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399BD45-EE40-4BD6-9B7E-181D86905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561" y="9160023"/>
          <a:ext cx="8438972" cy="743054"/>
        </a:xfrm>
        <a:prstGeom prst="rect">
          <a:avLst/>
        </a:prstGeom>
      </xdr:spPr>
    </xdr:pic>
    <xdr:clientData/>
  </xdr:twoCellAnchor>
  <xdr:twoCellAnchor editAs="oneCell">
    <xdr:from>
      <xdr:col>0</xdr:col>
      <xdr:colOff>765560</xdr:colOff>
      <xdr:row>65</xdr:row>
      <xdr:rowOff>0</xdr:rowOff>
    </xdr:from>
    <xdr:to>
      <xdr:col>12</xdr:col>
      <xdr:colOff>17804</xdr:colOff>
      <xdr:row>69</xdr:row>
      <xdr:rowOff>71214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F13678E-D77A-4EB1-A44D-697CEFA2E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5560" y="11029416"/>
          <a:ext cx="8438973" cy="81897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11</xdr:col>
      <xdr:colOff>738856</xdr:colOff>
      <xdr:row>79</xdr:row>
      <xdr:rowOff>29814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F81689D-BB3D-4F24-859E-45E79F62A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5562" y="13085748"/>
          <a:ext cx="8394462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</xdr:row>
      <xdr:rowOff>0</xdr:rowOff>
    </xdr:from>
    <xdr:to>
      <xdr:col>12</xdr:col>
      <xdr:colOff>8903</xdr:colOff>
      <xdr:row>86</xdr:row>
      <xdr:rowOff>175061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1D4B739-4C04-4755-A2E4-D4F36E0D2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562" y="14768201"/>
          <a:ext cx="8430070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1</xdr:rowOff>
    </xdr:from>
    <xdr:to>
      <xdr:col>12</xdr:col>
      <xdr:colOff>24947</xdr:colOff>
      <xdr:row>99</xdr:row>
      <xdr:rowOff>80117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5CED3DE-D545-4924-9590-E6A4A9489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5561" y="16263716"/>
          <a:ext cx="8446115" cy="12017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12</xdr:col>
      <xdr:colOff>743161</xdr:colOff>
      <xdr:row>115</xdr:row>
      <xdr:rowOff>122726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B7DF3C1-3C33-439F-9AEA-6BDE3DCE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5561" y="19441682"/>
          <a:ext cx="9164329" cy="10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738855</xdr:colOff>
      <xdr:row>123</xdr:row>
      <xdr:rowOff>44510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F715D89-B3CE-43DD-977B-48B6AE814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5561" y="21684953"/>
          <a:ext cx="9160023" cy="2314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9</xdr:col>
      <xdr:colOff>19051</xdr:colOff>
      <xdr:row>14</xdr:row>
      <xdr:rowOff>13597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E19E3B-E026-45DD-8F9F-1882F6521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190500"/>
          <a:ext cx="6115050" cy="1918597"/>
        </a:xfrm>
        <a:prstGeom prst="rect">
          <a:avLst/>
        </a:prstGeom>
      </xdr:spPr>
    </xdr:pic>
    <xdr:clientData/>
  </xdr:twoCellAnchor>
  <xdr:twoCellAnchor editAs="oneCell">
    <xdr:from>
      <xdr:col>0</xdr:col>
      <xdr:colOff>745308</xdr:colOff>
      <xdr:row>19</xdr:row>
      <xdr:rowOff>178393</xdr:rowOff>
    </xdr:from>
    <xdr:to>
      <xdr:col>8</xdr:col>
      <xdr:colOff>758352</xdr:colOff>
      <xdr:row>29</xdr:row>
      <xdr:rowOff>37597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745930D-D091-4D6A-95CB-D04A71D3B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08" y="3186288"/>
          <a:ext cx="6129097" cy="173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9</xdr:col>
      <xdr:colOff>71903</xdr:colOff>
      <xdr:row>49</xdr:row>
      <xdr:rowOff>32288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57220A-4BA8-4799-92BF-06BF92CF3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771" y="7555424"/>
          <a:ext cx="6142073" cy="13883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9525</xdr:colOff>
      <xdr:row>11</xdr:row>
      <xdr:rowOff>2563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DD3385E-7953-46A7-AD60-B382EEBAD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0677525" cy="13323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14</xdr:col>
      <xdr:colOff>737722</xdr:colOff>
      <xdr:row>31</xdr:row>
      <xdr:rowOff>12848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91423DD-D5C3-4D36-A3A2-408AF43B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736" y="3735294"/>
          <a:ext cx="10692280" cy="1506965"/>
        </a:xfrm>
        <a:prstGeom prst="rect">
          <a:avLst/>
        </a:prstGeom>
      </xdr:spPr>
    </xdr:pic>
    <xdr:clientData/>
  </xdr:twoCellAnchor>
  <xdr:twoCellAnchor editAs="oneCell">
    <xdr:from>
      <xdr:col>7</xdr:col>
      <xdr:colOff>310599</xdr:colOff>
      <xdr:row>11</xdr:row>
      <xdr:rowOff>163978</xdr:rowOff>
    </xdr:from>
    <xdr:to>
      <xdr:col>11</xdr:col>
      <xdr:colOff>683317</xdr:colOff>
      <xdr:row>21</xdr:row>
      <xdr:rowOff>68222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6F76FE8-0217-45EE-A6CD-C21CEDF8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3588" y="1654848"/>
          <a:ext cx="3437283" cy="1767830"/>
        </a:xfrm>
        <a:prstGeom prst="rect">
          <a:avLst/>
        </a:prstGeom>
      </xdr:spPr>
    </xdr:pic>
    <xdr:clientData/>
  </xdr:twoCellAnchor>
  <xdr:twoCellAnchor editAs="oneCell">
    <xdr:from>
      <xdr:col>7</xdr:col>
      <xdr:colOff>269186</xdr:colOff>
      <xdr:row>32</xdr:row>
      <xdr:rowOff>124239</xdr:rowOff>
    </xdr:from>
    <xdr:to>
      <xdr:col>11</xdr:col>
      <xdr:colOff>728321</xdr:colOff>
      <xdr:row>42</xdr:row>
      <xdr:rowOff>165651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F19DFD0-2508-4CDE-BC0F-27C0C7819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2175" y="5528641"/>
          <a:ext cx="3523700" cy="1905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104775</xdr:colOff>
      <xdr:row>3</xdr:row>
      <xdr:rowOff>4762</xdr:rowOff>
    </xdr:from>
    <xdr:ext cx="1952586" cy="3801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D2AC631-C7D7-488D-925D-D6613B500AE4}"/>
                </a:ext>
              </a:extLst>
            </xdr:cNvPr>
            <xdr:cNvSpPr txBox="1"/>
          </xdr:nvSpPr>
          <xdr:spPr>
            <a:xfrm>
              <a:off x="868928" y="569804"/>
              <a:ext cx="1952586" cy="3801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d>
                          <m:d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∑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</m:d>
                        <m:d>
                          <m:d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∑</m:t>
                            </m:r>
                            <m:sSup>
                              <m:sSup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𝑋</m:t>
                                </m:r>
                              </m:e>
                              <m:sup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−(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)(∑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𝑋𝑌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∑</m:t>
                        </m:r>
                        <m:sSup>
                          <m:sSup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p>
                          <m:sSup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(∑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  <m:sup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D2AC631-C7D7-488D-925D-D6613B500AE4}"/>
                </a:ext>
              </a:extLst>
            </xdr:cNvPr>
            <xdr:cNvSpPr txBox="1"/>
          </xdr:nvSpPr>
          <xdr:spPr>
            <a:xfrm>
              <a:off x="868928" y="569804"/>
              <a:ext cx="1952586" cy="3801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𝑎_0=  ((∑𝑌)(∑𝑋^2 )−(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𝑋)(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𝑋𝑌))/(</a:t>
              </a:r>
              <a:r>
                <a:rPr lang="es-MX" sz="1100" b="0" i="0">
                  <a:latin typeface="Cambria Math" panose="02040503050406030204" pitchFamily="18" charset="0"/>
                </a:rPr>
                <a:t>𝑁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𝑋^2− 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(∑𝑋)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〗^2 )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4</xdr:col>
      <xdr:colOff>9647</xdr:colOff>
      <xdr:row>7</xdr:row>
      <xdr:rowOff>9201</xdr:rowOff>
    </xdr:from>
    <xdr:to>
      <xdr:col>10</xdr:col>
      <xdr:colOff>9647</xdr:colOff>
      <xdr:row>21</xdr:row>
      <xdr:rowOff>89289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2FF8042-B86A-49D5-90D0-BBAB7EBD2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29158</xdr:colOff>
      <xdr:row>23</xdr:row>
      <xdr:rowOff>9720</xdr:rowOff>
    </xdr:from>
    <xdr:to>
      <xdr:col>8</xdr:col>
      <xdr:colOff>516154</xdr:colOff>
      <xdr:row>27</xdr:row>
      <xdr:rowOff>25065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28DDEC0-5D09-413B-9052-92A602090E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78507"/>
        <a:stretch/>
      </xdr:blipFill>
      <xdr:spPr>
        <a:xfrm>
          <a:off x="781132" y="4621825"/>
          <a:ext cx="7204275" cy="817451"/>
        </a:xfrm>
        <a:prstGeom prst="rect">
          <a:avLst/>
        </a:prstGeom>
      </xdr:spPr>
    </xdr:pic>
    <xdr:clientData/>
  </xdr:twoCellAnchor>
  <xdr:twoCellAnchor>
    <xdr:from>
      <xdr:col>3</xdr:col>
      <xdr:colOff>746450</xdr:colOff>
      <xdr:row>29</xdr:row>
      <xdr:rowOff>8554</xdr:rowOff>
    </xdr:from>
    <xdr:to>
      <xdr:col>10</xdr:col>
      <xdr:colOff>11665</xdr:colOff>
      <xdr:row>43</xdr:row>
      <xdr:rowOff>30325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728C647-0C02-48FA-8E2E-9AC35F993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4</xdr:col>
      <xdr:colOff>60960</xdr:colOff>
      <xdr:row>2</xdr:row>
      <xdr:rowOff>182880</xdr:rowOff>
    </xdr:from>
    <xdr:ext cx="1620828" cy="362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92BCAC4-FEE2-4308-AEED-28886548BD42}"/>
                </a:ext>
              </a:extLst>
            </xdr:cNvPr>
            <xdr:cNvSpPr txBox="1"/>
          </xdr:nvSpPr>
          <xdr:spPr>
            <a:xfrm>
              <a:off x="3108960" y="563880"/>
              <a:ext cx="1620828" cy="362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 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𝑋𝑌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−(∑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)(∑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∑</m:t>
                        </m:r>
                        <m:sSup>
                          <m:sSup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p>
                          <m:sSup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(∑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  <m:sup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92BCAC4-FEE2-4308-AEED-28886548BD42}"/>
                </a:ext>
              </a:extLst>
            </xdr:cNvPr>
            <xdr:cNvSpPr txBox="1"/>
          </xdr:nvSpPr>
          <xdr:spPr>
            <a:xfrm>
              <a:off x="3108960" y="563880"/>
              <a:ext cx="1620828" cy="362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𝑎_1=(𝑁 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𝑋𝑌 −(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𝑋)(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𝑌))/(</a:t>
              </a:r>
              <a:r>
                <a:rPr lang="es-MX" sz="1100" b="0" i="0">
                  <a:latin typeface="Cambria Math" panose="02040503050406030204" pitchFamily="18" charset="0"/>
                </a:rPr>
                <a:t>𝑁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𝑋^2−〖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(∑𝑋)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〗^2 ) </a:t>
              </a:r>
              <a:r>
                <a:rPr lang="es-MX" sz="1100" b="0" i="0">
                  <a:latin typeface="Cambria Math" panose="02040503050406030204" pitchFamily="18" charset="0"/>
                </a:rPr>
                <a:t> 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1</xdr:col>
      <xdr:colOff>0</xdr:colOff>
      <xdr:row>73</xdr:row>
      <xdr:rowOff>0</xdr:rowOff>
    </xdr:from>
    <xdr:ext cx="1952586" cy="3801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68135196-A413-4530-B0A8-F8B02B13C364}"/>
                </a:ext>
              </a:extLst>
            </xdr:cNvPr>
            <xdr:cNvSpPr txBox="1"/>
          </xdr:nvSpPr>
          <xdr:spPr>
            <a:xfrm>
              <a:off x="1524000" y="16619220"/>
              <a:ext cx="1952586" cy="3801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d>
                          <m:d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∑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</m:d>
                        <m:d>
                          <m:d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∑</m:t>
                            </m:r>
                            <m:sSup>
                              <m:sSup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𝑋</m:t>
                                </m:r>
                              </m:e>
                              <m:sup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−(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)(∑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𝑋𝑌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∑</m:t>
                        </m:r>
                        <m:sSup>
                          <m:sSup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 </m:t>
                        </m:r>
                        <m:sSup>
                          <m:sSup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(∑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  <m:sup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68135196-A413-4530-B0A8-F8B02B13C364}"/>
                </a:ext>
              </a:extLst>
            </xdr:cNvPr>
            <xdr:cNvSpPr txBox="1"/>
          </xdr:nvSpPr>
          <xdr:spPr>
            <a:xfrm>
              <a:off x="1524000" y="16619220"/>
              <a:ext cx="1952586" cy="3801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𝑎_0=  ((∑𝑌)(∑𝑋^2 )−(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𝑋)(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𝑋𝑌))/(</a:t>
              </a:r>
              <a:r>
                <a:rPr lang="es-MX" sz="1100" b="0" i="0">
                  <a:latin typeface="Cambria Math" panose="02040503050406030204" pitchFamily="18" charset="0"/>
                </a:rPr>
                <a:t>𝑁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𝑋^2− 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(∑𝑋)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〗^2 )</a:t>
              </a:r>
              <a:endParaRPr lang="es-MX" sz="1100"/>
            </a:p>
          </xdr:txBody>
        </xdr:sp>
      </mc:Fallback>
    </mc:AlternateContent>
    <xdr:clientData/>
  </xdr:oneCellAnchor>
  <xdr:oneCellAnchor>
    <xdr:from>
      <xdr:col>1</xdr:col>
      <xdr:colOff>0</xdr:colOff>
      <xdr:row>76</xdr:row>
      <xdr:rowOff>0</xdr:rowOff>
    </xdr:from>
    <xdr:ext cx="1620828" cy="362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C1CDAF40-F4B2-462B-A0F3-8AE79D9ECC84}"/>
                </a:ext>
              </a:extLst>
            </xdr:cNvPr>
            <xdr:cNvSpPr txBox="1"/>
          </xdr:nvSpPr>
          <xdr:spPr>
            <a:xfrm>
              <a:off x="1524000" y="17190720"/>
              <a:ext cx="1620828" cy="362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 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𝑋𝑌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−(∑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𝑋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)(∑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)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∑</m:t>
                        </m:r>
                        <m:sSup>
                          <m:sSup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</m:e>
                          <m:sup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p>
                          <m:sSup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(∑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</m:t>
                            </m:r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  <m:sup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C1CDAF40-F4B2-462B-A0F3-8AE79D9ECC84}"/>
                </a:ext>
              </a:extLst>
            </xdr:cNvPr>
            <xdr:cNvSpPr txBox="1"/>
          </xdr:nvSpPr>
          <xdr:spPr>
            <a:xfrm>
              <a:off x="1524000" y="17190720"/>
              <a:ext cx="1620828" cy="362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𝑎_1=(𝑁 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𝑋𝑌 −(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𝑋)(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𝑌))/(</a:t>
              </a:r>
              <a:r>
                <a:rPr lang="es-MX" sz="1100" b="0" i="0">
                  <a:latin typeface="Cambria Math" panose="02040503050406030204" pitchFamily="18" charset="0"/>
                </a:rPr>
                <a:t>𝑁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∑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𝑋^2−〖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(∑𝑋)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〗^2 ) </a:t>
              </a:r>
              <a:r>
                <a:rPr lang="es-MX" sz="1100" b="0" i="0">
                  <a:latin typeface="Cambria Math" panose="02040503050406030204" pitchFamily="18" charset="0"/>
                </a:rPr>
                <a:t> 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4</xdr:col>
      <xdr:colOff>715952</xdr:colOff>
      <xdr:row>74</xdr:row>
      <xdr:rowOff>5652</xdr:rowOff>
    </xdr:from>
    <xdr:to>
      <xdr:col>10</xdr:col>
      <xdr:colOff>743495</xdr:colOff>
      <xdr:row>88</xdr:row>
      <xdr:rowOff>41400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7A2015F-E7E9-4452-8EEA-A0F26E74B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100</xdr:row>
      <xdr:rowOff>0</xdr:rowOff>
    </xdr:from>
    <xdr:to>
      <xdr:col>7</xdr:col>
      <xdr:colOff>529291</xdr:colOff>
      <xdr:row>105</xdr:row>
      <xdr:rowOff>166963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71C6F34-8956-4E07-B219-41BAA17BA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112" y="22296276"/>
          <a:ext cx="6531429" cy="1138901"/>
        </a:xfrm>
        <a:prstGeom prst="rect">
          <a:avLst/>
        </a:prstGeom>
      </xdr:spPr>
    </xdr:pic>
    <xdr:clientData/>
  </xdr:twoCellAnchor>
  <xdr:twoCellAnchor>
    <xdr:from>
      <xdr:col>11</xdr:col>
      <xdr:colOff>688473</xdr:colOff>
      <xdr:row>109</xdr:row>
      <xdr:rowOff>42528</xdr:rowOff>
    </xdr:from>
    <xdr:to>
      <xdr:col>16</xdr:col>
      <xdr:colOff>686489</xdr:colOff>
      <xdr:row>123</xdr:row>
      <xdr:rowOff>141809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42317ABE-2A27-4F16-9381-9B824A00F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721895</xdr:colOff>
      <xdr:row>124</xdr:row>
      <xdr:rowOff>165769</xdr:rowOff>
    </xdr:from>
    <xdr:to>
      <xdr:col>16</xdr:col>
      <xdr:colOff>731921</xdr:colOff>
      <xdr:row>139</xdr:row>
      <xdr:rowOff>151732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A1FC6FC-67EA-49D7-AFA9-97A30A8A3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2</xdr:col>
      <xdr:colOff>281809</xdr:colOff>
      <xdr:row>133</xdr:row>
      <xdr:rowOff>27261</xdr:rowOff>
    </xdr:from>
    <xdr:ext cx="1006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B62AC9FE-ACFE-43F3-B2A6-A7C130B0CA3C}"/>
                </a:ext>
              </a:extLst>
            </xdr:cNvPr>
            <xdr:cNvSpPr txBox="1"/>
          </xdr:nvSpPr>
          <xdr:spPr>
            <a:xfrm>
              <a:off x="3237843" y="25260300"/>
              <a:ext cx="1006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𝑧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𝑏𝑥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𝑐𝑦</m:t>
                    </m:r>
                  </m:oMath>
                </m:oMathPara>
              </a14:m>
              <a:endParaRPr lang="es-MX" sz="1100" b="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B62AC9FE-ACFE-43F3-B2A6-A7C130B0CA3C}"/>
                </a:ext>
              </a:extLst>
            </xdr:cNvPr>
            <xdr:cNvSpPr txBox="1"/>
          </xdr:nvSpPr>
          <xdr:spPr>
            <a:xfrm>
              <a:off x="3237843" y="25260300"/>
              <a:ext cx="1006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𝑧=𝑎+𝑏𝑥+𝑐𝑦</a:t>
              </a:r>
              <a:endParaRPr lang="es-MX" sz="1100" b="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468822</xdr:colOff>
      <xdr:row>1</xdr:row>
      <xdr:rowOff>50665</xdr:rowOff>
    </xdr:from>
    <xdr:ext cx="1795107" cy="3935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7909781-478F-45EA-89C5-D996E4B2F23F}"/>
                </a:ext>
              </a:extLst>
            </xdr:cNvPr>
            <xdr:cNvSpPr txBox="1"/>
          </xdr:nvSpPr>
          <xdr:spPr>
            <a:xfrm>
              <a:off x="7676930" y="243739"/>
              <a:ext cx="1795107" cy="3935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∑(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𝑥𝑖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 − </m:t>
                        </m:r>
                        <m:acc>
                          <m:accPr>
                            <m:chr m:val="̅"/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acc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)(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𝑦𝑖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 − </m:t>
                        </m:r>
                        <m:acc>
                          <m:accPr>
                            <m:chr m:val="̅"/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∑</m:t>
                            </m:r>
                            <m:sSup>
                              <m:sSupPr>
                                <m:ctrlP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(</m:t>
                                </m:r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𝑥𝑖</m:t>
                                </m:r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− </m:t>
                                </m:r>
                                <m:acc>
                                  <m:accPr>
                                    <m:chr m:val="̅"/>
                                    <m:ctrlP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</m:acc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  <m:sup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(</m:t>
                                </m:r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𝑦𝑖</m:t>
                                </m:r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 − </m:t>
                                </m:r>
                                <m:acc>
                                  <m:accPr>
                                    <m:chr m:val="̅"/>
                                    <m:ctrlP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e>
                                </m:acc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  <m:sup>
                                <m:r>
                                  <a:rPr lang="es-MX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rad>
                      </m:den>
                    </m:f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7909781-478F-45EA-89C5-D996E4B2F23F}"/>
                </a:ext>
              </a:extLst>
            </xdr:cNvPr>
            <xdr:cNvSpPr txBox="1"/>
          </xdr:nvSpPr>
          <xdr:spPr>
            <a:xfrm>
              <a:off x="7676930" y="243739"/>
              <a:ext cx="1795107" cy="3935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𝑟=  (∑(𝑥𝑖 − 𝑥 ̅)(𝑦𝑖 − 𝑦 ̅))/√(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∑〖(𝑥𝑖 − 𝑥 ̅)〗^2 〖(𝑦𝑖 − 𝑦 ̅)〗^2 )</a:t>
              </a:r>
              <a:endParaRPr lang="es-MX" sz="1100"/>
            </a:p>
          </xdr:txBody>
        </xdr:sp>
      </mc:Fallback>
    </mc:AlternateContent>
    <xdr:clientData/>
  </xdr:oneCellAnchor>
  <xdr:twoCellAnchor>
    <xdr:from>
      <xdr:col>4</xdr:col>
      <xdr:colOff>960847</xdr:colOff>
      <xdr:row>6</xdr:row>
      <xdr:rowOff>85464</xdr:rowOff>
    </xdr:from>
    <xdr:to>
      <xdr:col>9</xdr:col>
      <xdr:colOff>613772</xdr:colOff>
      <xdr:row>20</xdr:row>
      <xdr:rowOff>97842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1E2595C-7281-421C-88E1-52FB8643B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326531</xdr:colOff>
      <xdr:row>42</xdr:row>
      <xdr:rowOff>33420</xdr:rowOff>
    </xdr:from>
    <xdr:to>
      <xdr:col>10</xdr:col>
      <xdr:colOff>342565</xdr:colOff>
      <xdr:row>54</xdr:row>
      <xdr:rowOff>91907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FEE6FC2-4A89-4D1B-ACFF-93371BFEB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87774</xdr:colOff>
      <xdr:row>42</xdr:row>
      <xdr:rowOff>16709</xdr:rowOff>
    </xdr:from>
    <xdr:to>
      <xdr:col>17</xdr:col>
      <xdr:colOff>57952</xdr:colOff>
      <xdr:row>54</xdr:row>
      <xdr:rowOff>161886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BFE8ACF-51F3-4247-AB85-E8D414C97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344489</xdr:colOff>
      <xdr:row>31</xdr:row>
      <xdr:rowOff>177850</xdr:rowOff>
    </xdr:from>
    <xdr:to>
      <xdr:col>19</xdr:col>
      <xdr:colOff>249239</xdr:colOff>
      <xdr:row>46</xdr:row>
      <xdr:rowOff>116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98D9CEB-8329-49FD-900C-C6BB6E6A7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100110</xdr:colOff>
      <xdr:row>14</xdr:row>
      <xdr:rowOff>27992</xdr:rowOff>
    </xdr:from>
    <xdr:to>
      <xdr:col>6</xdr:col>
      <xdr:colOff>210911</xdr:colOff>
      <xdr:row>28</xdr:row>
      <xdr:rowOff>49763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B8B087C-22F8-4F45-9C76-B2FBC6BF3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32073</xdr:colOff>
      <xdr:row>14</xdr:row>
      <xdr:rowOff>27992</xdr:rowOff>
    </xdr:from>
    <xdr:to>
      <xdr:col>13</xdr:col>
      <xdr:colOff>55400</xdr:colOff>
      <xdr:row>28</xdr:row>
      <xdr:rowOff>49763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AA6604C-766C-4449-B2EB-5A9649FD8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8283</xdr:colOff>
      <xdr:row>11</xdr:row>
      <xdr:rowOff>19878</xdr:rowOff>
    </xdr:from>
    <xdr:to>
      <xdr:col>7</xdr:col>
      <xdr:colOff>8283</xdr:colOff>
      <xdr:row>25</xdr:row>
      <xdr:rowOff>96078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76EAF0-38D6-4F21-970B-55E96F092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4</xdr:row>
      <xdr:rowOff>4762</xdr:rowOff>
    </xdr:from>
    <xdr:to>
      <xdr:col>11</xdr:col>
      <xdr:colOff>571500</xdr:colOff>
      <xdr:row>17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E7FE16-2A1E-4E65-9BE5-C24F8E047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571500</xdr:colOff>
      <xdr:row>29</xdr:row>
      <xdr:rowOff>4762</xdr:rowOff>
    </xdr:from>
    <xdr:to>
      <xdr:col>11</xdr:col>
      <xdr:colOff>571500</xdr:colOff>
      <xdr:row>42</xdr:row>
      <xdr:rowOff>80962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5E59BAD-1B37-47FE-8C64-6A5DFFD5C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51</xdr:row>
      <xdr:rowOff>0</xdr:rowOff>
    </xdr:from>
    <xdr:to>
      <xdr:col>12</xdr:col>
      <xdr:colOff>534752</xdr:colOff>
      <xdr:row>54</xdr:row>
      <xdr:rowOff>38185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8E03744-2B30-4DD0-B158-31880CAF0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500"/>
          <a:ext cx="9688277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56</xdr:row>
      <xdr:rowOff>28575</xdr:rowOff>
    </xdr:from>
    <xdr:to>
      <xdr:col>12</xdr:col>
      <xdr:colOff>523875</xdr:colOff>
      <xdr:row>57</xdr:row>
      <xdr:rowOff>2288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7D5A12B-D802-463C-AEF3-46EDF25B1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5" y="11934825"/>
          <a:ext cx="5057775" cy="164213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761999</xdr:colOff>
      <xdr:row>70</xdr:row>
      <xdr:rowOff>0</xdr:rowOff>
    </xdr:from>
    <xdr:to>
      <xdr:col>13</xdr:col>
      <xdr:colOff>2411</xdr:colOff>
      <xdr:row>80</xdr:row>
      <xdr:rowOff>171740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A4D4161-9A2B-41E8-A29F-6198A53FC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1999" y="14582775"/>
          <a:ext cx="9915525" cy="2076740"/>
        </a:xfrm>
        <a:prstGeom prst="rect">
          <a:avLst/>
        </a:prstGeom>
      </xdr:spPr>
    </xdr:pic>
    <xdr:clientData/>
  </xdr:twoCellAnchor>
  <xdr:twoCellAnchor>
    <xdr:from>
      <xdr:col>2</xdr:col>
      <xdr:colOff>4878</xdr:colOff>
      <xdr:row>102</xdr:row>
      <xdr:rowOff>28110</xdr:rowOff>
    </xdr:from>
    <xdr:to>
      <xdr:col>6</xdr:col>
      <xdr:colOff>739000</xdr:colOff>
      <xdr:row>116</xdr:row>
      <xdr:rowOff>169359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EA0D1CA-C54E-4F3C-8CD5-35C71D6CF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54595</xdr:colOff>
      <xdr:row>54</xdr:row>
      <xdr:rowOff>4878</xdr:rowOff>
    </xdr:from>
    <xdr:to>
      <xdr:col>19</xdr:col>
      <xdr:colOff>26717</xdr:colOff>
      <xdr:row>68</xdr:row>
      <xdr:rowOff>134511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C20EA4A-EF60-47AC-B899-810AF218A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542102</xdr:colOff>
      <xdr:row>4</xdr:row>
      <xdr:rowOff>115946</xdr:rowOff>
    </xdr:from>
    <xdr:to>
      <xdr:col>17</xdr:col>
      <xdr:colOff>141111</xdr:colOff>
      <xdr:row>20</xdr:row>
      <xdr:rowOff>82315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6CAF2F1-6FCB-428F-96E3-04D44E4E4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553860</xdr:colOff>
      <xdr:row>20</xdr:row>
      <xdr:rowOff>186501</xdr:rowOff>
    </xdr:from>
    <xdr:to>
      <xdr:col>17</xdr:col>
      <xdr:colOff>123473</xdr:colOff>
      <xdr:row>37</xdr:row>
      <xdr:rowOff>88194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1401FC1-A6C4-42ED-B34B-C5052BC5F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70D751-72BC-4348-B6A1-DF60C89E1F3B}" name="Tabla1" displayName="Tabla1" ref="B5:D12" totalsRowShown="0">
  <autoFilter ref="B5:D12" xr:uid="{804E57D1-6443-49ED-B8F7-41F071EFE7C6}"/>
  <tableColumns count="3">
    <tableColumn id="1" xr3:uid="{707E40A1-CA9D-44D3-80BC-76F4969C0350}" name="categoría"/>
    <tableColumn id="2" xr3:uid="{D2ECC69D-E460-4256-998E-DED2C9015508}" name="cantidad"/>
    <tableColumn id="3" xr3:uid="{7EAA9912-55C2-44B6-AB88-E4A18E762529}" name="´porcentaje" dataDxfId="5">
      <calculatedColumnFormula>(Tabla1[[#This Row],[cantidad]]/$C$12)*100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DA19B6-4B63-4DB8-96EE-ADAFE3996741}" name="Tabla2" displayName="Tabla2" ref="B26:C31" totalsRowShown="0">
  <autoFilter ref="B26:C31" xr:uid="{116DB21B-0012-4ABA-8D36-44BFC966907C}"/>
  <tableColumns count="2">
    <tableColumn id="1" xr3:uid="{4D82BCE2-83B0-41D2-AF30-A41643F88A87}" name="Año"/>
    <tableColumn id="2" xr3:uid="{308CCD47-7FE1-4888-B56D-2D8E62EF1DCE}" name="85 o má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91BB6A-1F9B-4DCC-95D3-80814A337F7D}" name="Tabla3" displayName="Tabla3" ref="B42:H87" totalsRowShown="0" headerRowDxfId="4">
  <autoFilter ref="B42:H87" xr:uid="{E4AD36B2-60FA-486C-9182-D99CB370CBFC}"/>
  <tableColumns count="7">
    <tableColumn id="1" xr3:uid="{A59E4CD8-0354-4CF3-A80A-61C34DBA2CE4}" name="xi"/>
    <tableColumn id="2" xr3:uid="{F77338DD-7D3B-4A19-A27F-8472F18643E8}" name="frecuencia absoluta f"/>
    <tableColumn id="3" xr3:uid="{3ECEF401-797E-4DBF-9698-6B9D161F95BE}" name="frecuencia acumulada Fi"/>
    <tableColumn id="4" xr3:uid="{DC86B7AC-8916-45A1-A1CE-F2C4F5E7F6FC}" name="frecuencia relativa fi" dataDxfId="3"/>
    <tableColumn id="5" xr3:uid="{3879C488-DEF9-47FB-96FD-0C0554C6C3B4}" name="frecuencia relativa acumulada" dataDxfId="2"/>
    <tableColumn id="6" xr3:uid="{5DD21FB3-F9A6-4C9B-B97C-7401B7CB833E}" name="frecuencia absoluta acum %" dataDxfId="1" dataCellStyle="Porcentaje"/>
    <tableColumn id="7" xr3:uid="{46093818-15AE-4B53-B1A7-54B01CA8DDF2}" name="fi acumulada%" dataDxfId="0" dataCellStyle="Porcentaj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1FFB-7EB8-4EAC-9777-452A23D162C8}">
  <dimension ref="B8:F17"/>
  <sheetViews>
    <sheetView workbookViewId="0">
      <selection activeCell="D18" sqref="D18"/>
    </sheetView>
  </sheetViews>
  <sheetFormatPr baseColWidth="10" defaultRowHeight="15" x14ac:dyDescent="0.25"/>
  <sheetData>
    <row r="8" spans="2:6" x14ac:dyDescent="0.25">
      <c r="B8" t="s">
        <v>398</v>
      </c>
    </row>
    <row r="9" spans="2:6" x14ac:dyDescent="0.25">
      <c r="B9" s="146" t="s">
        <v>385</v>
      </c>
      <c r="C9" s="146"/>
      <c r="D9" s="146"/>
      <c r="E9" s="146"/>
      <c r="F9" s="146"/>
    </row>
    <row r="10" spans="2:6" x14ac:dyDescent="0.25">
      <c r="B10" s="146"/>
      <c r="C10" s="146"/>
      <c r="D10" s="146"/>
      <c r="E10" s="146"/>
      <c r="F10" s="146"/>
    </row>
    <row r="11" spans="2:6" ht="18.75" x14ac:dyDescent="0.3">
      <c r="B11" s="140" t="s">
        <v>386</v>
      </c>
    </row>
    <row r="15" spans="2:6" x14ac:dyDescent="0.25">
      <c r="B15" t="s">
        <v>387</v>
      </c>
    </row>
    <row r="16" spans="2:6" x14ac:dyDescent="0.25">
      <c r="B16" t="s">
        <v>388</v>
      </c>
    </row>
    <row r="17" spans="2:2" x14ac:dyDescent="0.25">
      <c r="B17" s="139">
        <v>45454</v>
      </c>
    </row>
  </sheetData>
  <mergeCells count="1">
    <mergeCell ref="B9:F1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E89F9-C471-4299-A5F9-B2D5BC694754}">
  <dimension ref="B2:U114"/>
  <sheetViews>
    <sheetView topLeftCell="A29" zoomScale="73" zoomScaleNormal="40" workbookViewId="0">
      <selection activeCell="B2" sqref="B2:D3"/>
    </sheetView>
  </sheetViews>
  <sheetFormatPr baseColWidth="10" defaultRowHeight="15" x14ac:dyDescent="0.25"/>
  <cols>
    <col min="2" max="2" width="25.85546875" bestFit="1" customWidth="1"/>
    <col min="3" max="3" width="21" customWidth="1"/>
    <col min="4" max="4" width="23.85546875" customWidth="1"/>
    <col min="5" max="5" width="20.85546875" customWidth="1"/>
    <col min="6" max="6" width="28.85546875" customWidth="1"/>
    <col min="7" max="7" width="27" customWidth="1"/>
    <col min="8" max="8" width="15.85546875" style="4" customWidth="1"/>
    <col min="15" max="15" width="15.5703125" bestFit="1" customWidth="1"/>
  </cols>
  <sheetData>
    <row r="2" spans="2:4" x14ac:dyDescent="0.25">
      <c r="B2" s="148" t="s">
        <v>389</v>
      </c>
      <c r="C2" s="148"/>
      <c r="D2" s="148"/>
    </row>
    <row r="3" spans="2:4" x14ac:dyDescent="0.25">
      <c r="B3" s="148"/>
      <c r="C3" s="148"/>
      <c r="D3" s="148"/>
    </row>
    <row r="5" spans="2:4" x14ac:dyDescent="0.25">
      <c r="B5" t="s">
        <v>0</v>
      </c>
      <c r="C5" t="s">
        <v>1</v>
      </c>
      <c r="D5" t="s">
        <v>9</v>
      </c>
    </row>
    <row r="6" spans="2:4" x14ac:dyDescent="0.25">
      <c r="B6" t="s">
        <v>2</v>
      </c>
      <c r="C6">
        <v>127.5</v>
      </c>
      <c r="D6">
        <f>(Tabla1[[#This Row],[cantidad]]/$C$12)*100</f>
        <v>26.876053962900503</v>
      </c>
    </row>
    <row r="7" spans="2:4" x14ac:dyDescent="0.25">
      <c r="B7" t="s">
        <v>3</v>
      </c>
      <c r="C7">
        <v>188.1</v>
      </c>
      <c r="D7">
        <f>(Tabla1[[#This Row],[cantidad]]/$C$12)*100</f>
        <v>39.650084317032039</v>
      </c>
    </row>
    <row r="8" spans="2:4" x14ac:dyDescent="0.25">
      <c r="B8" t="s">
        <v>4</v>
      </c>
      <c r="C8">
        <v>82.3</v>
      </c>
      <c r="D8">
        <f>(Tabla1[[#This Row],[cantidad]]/$C$12)*100</f>
        <v>17.348229342327148</v>
      </c>
    </row>
    <row r="9" spans="2:4" x14ac:dyDescent="0.25">
      <c r="B9" t="s">
        <v>5</v>
      </c>
      <c r="C9">
        <v>65.7</v>
      </c>
      <c r="D9">
        <f>(Tabla1[[#This Row],[cantidad]]/$C$12)*100</f>
        <v>13.849072512647552</v>
      </c>
    </row>
    <row r="10" spans="2:4" x14ac:dyDescent="0.25">
      <c r="B10" t="s">
        <v>6</v>
      </c>
      <c r="C10">
        <v>5.3</v>
      </c>
      <c r="D10">
        <f>(Tabla1[[#This Row],[cantidad]]/$C$12)*100</f>
        <v>1.1172006745362562</v>
      </c>
    </row>
    <row r="11" spans="2:4" x14ac:dyDescent="0.25">
      <c r="B11" t="s">
        <v>7</v>
      </c>
      <c r="C11">
        <v>5.5</v>
      </c>
      <c r="D11">
        <f>(Tabla1[[#This Row],[cantidad]]/$C$12)*100</f>
        <v>1.1593591905564924</v>
      </c>
    </row>
    <row r="12" spans="2:4" x14ac:dyDescent="0.25">
      <c r="B12" t="s">
        <v>8</v>
      </c>
      <c r="C12">
        <f>SUM(C6:C11)</f>
        <v>474.40000000000003</v>
      </c>
      <c r="D12">
        <f>(Tabla1[[#This Row],[cantidad]]/$C$12)*100</f>
        <v>100</v>
      </c>
    </row>
    <row r="25" spans="2:3" ht="30.75" customHeight="1" x14ac:dyDescent="0.25">
      <c r="B25" s="147" t="s">
        <v>12</v>
      </c>
      <c r="C25" s="147"/>
    </row>
    <row r="26" spans="2:3" x14ac:dyDescent="0.25">
      <c r="B26" t="s">
        <v>10</v>
      </c>
      <c r="C26" t="s">
        <v>11</v>
      </c>
    </row>
    <row r="27" spans="2:3" x14ac:dyDescent="0.25">
      <c r="B27">
        <v>2010</v>
      </c>
      <c r="C27">
        <v>6.1</v>
      </c>
    </row>
    <row r="28" spans="2:3" x14ac:dyDescent="0.25">
      <c r="B28">
        <v>2020</v>
      </c>
      <c r="C28">
        <v>7.3</v>
      </c>
    </row>
    <row r="29" spans="2:3" x14ac:dyDescent="0.25">
      <c r="B29">
        <v>2030</v>
      </c>
      <c r="C29">
        <v>9.6</v>
      </c>
    </row>
    <row r="30" spans="2:3" x14ac:dyDescent="0.25">
      <c r="B30">
        <v>2040</v>
      </c>
      <c r="C30">
        <v>15.4</v>
      </c>
    </row>
    <row r="31" spans="2:3" x14ac:dyDescent="0.25">
      <c r="B31">
        <v>2050</v>
      </c>
      <c r="C31">
        <v>20.9</v>
      </c>
    </row>
    <row r="40" spans="2:21" x14ac:dyDescent="0.25">
      <c r="B40" t="s">
        <v>18</v>
      </c>
    </row>
    <row r="42" spans="2:21" ht="45.75" customHeight="1" x14ac:dyDescent="0.25">
      <c r="B42" s="1" t="s">
        <v>13</v>
      </c>
      <c r="C42" s="1" t="s">
        <v>14</v>
      </c>
      <c r="D42" s="1" t="s">
        <v>15</v>
      </c>
      <c r="E42" s="1" t="s">
        <v>16</v>
      </c>
      <c r="F42" s="1" t="s">
        <v>17</v>
      </c>
      <c r="G42" s="1" t="s">
        <v>23</v>
      </c>
      <c r="H42" s="5" t="s">
        <v>24</v>
      </c>
      <c r="J42" s="1"/>
    </row>
    <row r="43" spans="2:21" x14ac:dyDescent="0.25">
      <c r="B43">
        <v>10</v>
      </c>
      <c r="C43">
        <f>COUNTIF($L$50:$L$109,B43)</f>
        <v>1</v>
      </c>
      <c r="D43">
        <f>C43</f>
        <v>1</v>
      </c>
      <c r="E43" s="2">
        <f>C43/$C$87</f>
        <v>1.6666666666666666E-2</v>
      </c>
      <c r="F43" s="2">
        <f>E43</f>
        <v>1.6666666666666666E-2</v>
      </c>
      <c r="G43" s="3">
        <f>D43</f>
        <v>1</v>
      </c>
      <c r="H43" s="4">
        <f>Tabla3[[#This Row],[frecuencia relativa acumulada]]</f>
        <v>1.6666666666666666E-2</v>
      </c>
      <c r="K43" t="s">
        <v>19</v>
      </c>
      <c r="L43">
        <v>23</v>
      </c>
      <c r="M43">
        <v>60</v>
      </c>
      <c r="N43">
        <v>79</v>
      </c>
      <c r="O43">
        <v>32</v>
      </c>
      <c r="P43">
        <v>57</v>
      </c>
      <c r="Q43">
        <v>74</v>
      </c>
      <c r="R43">
        <v>52</v>
      </c>
      <c r="S43">
        <v>70</v>
      </c>
      <c r="T43">
        <v>82</v>
      </c>
      <c r="U43">
        <v>36</v>
      </c>
    </row>
    <row r="44" spans="2:21" x14ac:dyDescent="0.25">
      <c r="B44">
        <v>15</v>
      </c>
      <c r="C44">
        <f t="shared" ref="C44:C86" si="0">COUNTIF($L$50:$L$109,B44)</f>
        <v>1</v>
      </c>
      <c r="D44">
        <f>D43+C44</f>
        <v>2</v>
      </c>
      <c r="E44" s="2">
        <f t="shared" ref="E44:E86" si="1">C44/$C$87</f>
        <v>1.6666666666666666E-2</v>
      </c>
      <c r="F44" s="2">
        <f>F43+E44</f>
        <v>3.3333333333333333E-2</v>
      </c>
      <c r="G44" s="3">
        <f>D44</f>
        <v>2</v>
      </c>
      <c r="H44" s="4">
        <f>Tabla3[[#This Row],[frecuencia relativa acumulada]]</f>
        <v>3.3333333333333333E-2</v>
      </c>
      <c r="L44">
        <v>80</v>
      </c>
      <c r="M44">
        <v>77</v>
      </c>
      <c r="N44">
        <v>81</v>
      </c>
      <c r="O44">
        <v>95</v>
      </c>
      <c r="P44">
        <v>41</v>
      </c>
      <c r="Q44">
        <v>65</v>
      </c>
      <c r="R44">
        <v>92</v>
      </c>
      <c r="S44">
        <v>85</v>
      </c>
      <c r="T44">
        <v>55</v>
      </c>
      <c r="U44">
        <v>76</v>
      </c>
    </row>
    <row r="45" spans="2:21" x14ac:dyDescent="0.25">
      <c r="B45">
        <v>17</v>
      </c>
      <c r="C45">
        <f t="shared" si="0"/>
        <v>1</v>
      </c>
      <c r="D45">
        <f t="shared" ref="D45:D86" si="2">D44+C45</f>
        <v>3</v>
      </c>
      <c r="E45" s="2">
        <f t="shared" si="1"/>
        <v>1.6666666666666666E-2</v>
      </c>
      <c r="F45" s="2">
        <f t="shared" ref="F45:F86" si="3">F44+E45</f>
        <v>0.05</v>
      </c>
      <c r="G45" s="3">
        <f t="shared" ref="G45:G86" si="4">D45</f>
        <v>3</v>
      </c>
      <c r="H45" s="4">
        <f>Tabla3[[#This Row],[frecuencia relativa acumulada]]</f>
        <v>0.05</v>
      </c>
      <c r="L45">
        <v>52</v>
      </c>
      <c r="M45">
        <v>10</v>
      </c>
      <c r="N45">
        <v>64</v>
      </c>
      <c r="O45">
        <v>75</v>
      </c>
      <c r="P45">
        <v>78</v>
      </c>
      <c r="Q45">
        <v>25</v>
      </c>
      <c r="R45">
        <v>80</v>
      </c>
      <c r="S45">
        <v>98</v>
      </c>
      <c r="T45">
        <v>81</v>
      </c>
      <c r="U45">
        <v>67</v>
      </c>
    </row>
    <row r="46" spans="2:21" x14ac:dyDescent="0.25">
      <c r="B46">
        <v>23</v>
      </c>
      <c r="C46">
        <f t="shared" si="0"/>
        <v>1</v>
      </c>
      <c r="D46">
        <f t="shared" si="2"/>
        <v>4</v>
      </c>
      <c r="E46" s="2">
        <f t="shared" si="1"/>
        <v>1.6666666666666666E-2</v>
      </c>
      <c r="F46" s="2">
        <f t="shared" si="3"/>
        <v>6.6666666666666666E-2</v>
      </c>
      <c r="G46" s="3">
        <f t="shared" si="4"/>
        <v>4</v>
      </c>
      <c r="H46" s="4">
        <f>Tabla3[[#This Row],[frecuencia relativa acumulada]]</f>
        <v>6.6666666666666666E-2</v>
      </c>
      <c r="L46">
        <v>41</v>
      </c>
      <c r="M46">
        <v>71</v>
      </c>
      <c r="N46">
        <v>83</v>
      </c>
      <c r="O46">
        <v>54</v>
      </c>
      <c r="P46">
        <v>64</v>
      </c>
      <c r="Q46">
        <v>72</v>
      </c>
      <c r="R46">
        <v>88</v>
      </c>
      <c r="S46">
        <v>62</v>
      </c>
      <c r="T46">
        <v>74</v>
      </c>
      <c r="U46">
        <v>43</v>
      </c>
    </row>
    <row r="47" spans="2:21" x14ac:dyDescent="0.25">
      <c r="B47">
        <v>25</v>
      </c>
      <c r="C47">
        <f t="shared" si="0"/>
        <v>1</v>
      </c>
      <c r="D47">
        <f t="shared" si="2"/>
        <v>5</v>
      </c>
      <c r="E47" s="2">
        <f t="shared" si="1"/>
        <v>1.6666666666666666E-2</v>
      </c>
      <c r="F47" s="2">
        <f t="shared" si="3"/>
        <v>8.3333333333333329E-2</v>
      </c>
      <c r="G47" s="3">
        <f t="shared" si="4"/>
        <v>5</v>
      </c>
      <c r="H47" s="4">
        <f>Tabla3[[#This Row],[frecuencia relativa acumulada]]</f>
        <v>8.3333333333333329E-2</v>
      </c>
      <c r="L47">
        <v>60</v>
      </c>
      <c r="M47">
        <v>78</v>
      </c>
      <c r="N47">
        <v>89</v>
      </c>
      <c r="O47">
        <v>76</v>
      </c>
      <c r="P47">
        <v>84</v>
      </c>
      <c r="Q47">
        <v>48</v>
      </c>
      <c r="R47">
        <v>84</v>
      </c>
      <c r="S47">
        <v>90</v>
      </c>
      <c r="T47">
        <v>15</v>
      </c>
      <c r="U47">
        <v>79</v>
      </c>
    </row>
    <row r="48" spans="2:21" x14ac:dyDescent="0.25">
      <c r="B48">
        <v>32</v>
      </c>
      <c r="C48">
        <f t="shared" si="0"/>
        <v>1</v>
      </c>
      <c r="D48">
        <f t="shared" si="2"/>
        <v>6</v>
      </c>
      <c r="E48" s="2">
        <f t="shared" si="1"/>
        <v>1.6666666666666666E-2</v>
      </c>
      <c r="F48" s="2">
        <f t="shared" si="3"/>
        <v>9.9999999999999992E-2</v>
      </c>
      <c r="G48" s="3">
        <f t="shared" si="4"/>
        <v>6</v>
      </c>
      <c r="H48" s="4">
        <f>Tabla3[[#This Row],[frecuencia relativa acumulada]]</f>
        <v>9.9999999999999992E-2</v>
      </c>
      <c r="L48">
        <v>34</v>
      </c>
      <c r="M48">
        <v>67</v>
      </c>
      <c r="N48">
        <v>17</v>
      </c>
      <c r="O48">
        <v>82</v>
      </c>
      <c r="P48">
        <v>69</v>
      </c>
      <c r="Q48">
        <v>74</v>
      </c>
      <c r="R48">
        <v>63</v>
      </c>
      <c r="S48">
        <v>80</v>
      </c>
      <c r="T48">
        <v>85</v>
      </c>
      <c r="U48">
        <v>61</v>
      </c>
    </row>
    <row r="49" spans="2:12" x14ac:dyDescent="0.25">
      <c r="B49">
        <v>34</v>
      </c>
      <c r="C49">
        <f t="shared" si="0"/>
        <v>1</v>
      </c>
      <c r="D49">
        <f t="shared" si="2"/>
        <v>7</v>
      </c>
      <c r="E49" s="2">
        <f t="shared" si="1"/>
        <v>1.6666666666666666E-2</v>
      </c>
      <c r="F49" s="2">
        <f t="shared" si="3"/>
        <v>0.11666666666666665</v>
      </c>
      <c r="G49" s="3">
        <f t="shared" si="4"/>
        <v>7</v>
      </c>
      <c r="H49" s="4">
        <f>Tabla3[[#This Row],[frecuencia relativa acumulada]]</f>
        <v>0.11666666666666665</v>
      </c>
    </row>
    <row r="50" spans="2:12" x14ac:dyDescent="0.25">
      <c r="B50">
        <v>36</v>
      </c>
      <c r="C50">
        <f t="shared" si="0"/>
        <v>1</v>
      </c>
      <c r="D50">
        <f t="shared" si="2"/>
        <v>8</v>
      </c>
      <c r="E50" s="2">
        <f t="shared" si="1"/>
        <v>1.6666666666666666E-2</v>
      </c>
      <c r="F50" s="2">
        <f t="shared" si="3"/>
        <v>0.13333333333333333</v>
      </c>
      <c r="G50" s="3">
        <f t="shared" si="4"/>
        <v>8</v>
      </c>
      <c r="H50" s="4">
        <f>Tabla3[[#This Row],[frecuencia relativa acumulada]]</f>
        <v>0.13333333333333333</v>
      </c>
      <c r="K50" t="s">
        <v>20</v>
      </c>
      <c r="L50">
        <v>10</v>
      </c>
    </row>
    <row r="51" spans="2:12" x14ac:dyDescent="0.25">
      <c r="B51">
        <v>41</v>
      </c>
      <c r="C51">
        <f t="shared" si="0"/>
        <v>2</v>
      </c>
      <c r="D51">
        <f t="shared" si="2"/>
        <v>10</v>
      </c>
      <c r="E51" s="2">
        <f t="shared" si="1"/>
        <v>3.3333333333333333E-2</v>
      </c>
      <c r="F51" s="2">
        <f t="shared" si="3"/>
        <v>0.16666666666666666</v>
      </c>
      <c r="G51" s="3">
        <f t="shared" si="4"/>
        <v>10</v>
      </c>
      <c r="H51" s="4">
        <f>Tabla3[[#This Row],[frecuencia relativa acumulada]]</f>
        <v>0.16666666666666666</v>
      </c>
      <c r="L51">
        <v>15</v>
      </c>
    </row>
    <row r="52" spans="2:12" x14ac:dyDescent="0.25">
      <c r="B52">
        <v>43</v>
      </c>
      <c r="C52">
        <f t="shared" si="0"/>
        <v>1</v>
      </c>
      <c r="D52">
        <f t="shared" si="2"/>
        <v>11</v>
      </c>
      <c r="E52" s="2">
        <f t="shared" si="1"/>
        <v>1.6666666666666666E-2</v>
      </c>
      <c r="F52" s="2">
        <f t="shared" si="3"/>
        <v>0.18333333333333332</v>
      </c>
      <c r="G52" s="3">
        <f t="shared" si="4"/>
        <v>11</v>
      </c>
      <c r="H52" s="4">
        <f>Tabla3[[#This Row],[frecuencia relativa acumulada]]</f>
        <v>0.18333333333333332</v>
      </c>
      <c r="L52">
        <v>17</v>
      </c>
    </row>
    <row r="53" spans="2:12" x14ac:dyDescent="0.25">
      <c r="B53">
        <v>48</v>
      </c>
      <c r="C53">
        <f t="shared" si="0"/>
        <v>1</v>
      </c>
      <c r="D53">
        <f t="shared" si="2"/>
        <v>12</v>
      </c>
      <c r="E53" s="2">
        <f t="shared" si="1"/>
        <v>1.6666666666666666E-2</v>
      </c>
      <c r="F53" s="2">
        <f t="shared" si="3"/>
        <v>0.19999999999999998</v>
      </c>
      <c r="G53" s="3">
        <f t="shared" si="4"/>
        <v>12</v>
      </c>
      <c r="H53" s="4">
        <f>Tabla3[[#This Row],[frecuencia relativa acumulada]]</f>
        <v>0.19999999999999998</v>
      </c>
      <c r="K53" t="s">
        <v>21</v>
      </c>
      <c r="L53">
        <v>23</v>
      </c>
    </row>
    <row r="54" spans="2:12" x14ac:dyDescent="0.25">
      <c r="B54">
        <v>52</v>
      </c>
      <c r="C54">
        <f t="shared" si="0"/>
        <v>2</v>
      </c>
      <c r="D54">
        <f t="shared" si="2"/>
        <v>14</v>
      </c>
      <c r="E54" s="2">
        <f t="shared" si="1"/>
        <v>3.3333333333333333E-2</v>
      </c>
      <c r="F54" s="2">
        <f t="shared" si="3"/>
        <v>0.23333333333333331</v>
      </c>
      <c r="G54" s="3">
        <f t="shared" si="4"/>
        <v>14</v>
      </c>
      <c r="H54" s="4">
        <f>Tabla3[[#This Row],[frecuencia relativa acumulada]]</f>
        <v>0.23333333333333331</v>
      </c>
      <c r="K54">
        <f>COUNT(L50:L109)</f>
        <v>60</v>
      </c>
      <c r="L54">
        <v>25</v>
      </c>
    </row>
    <row r="55" spans="2:12" x14ac:dyDescent="0.25">
      <c r="B55">
        <v>54</v>
      </c>
      <c r="C55">
        <f t="shared" si="0"/>
        <v>1</v>
      </c>
      <c r="D55">
        <f t="shared" si="2"/>
        <v>15</v>
      </c>
      <c r="E55" s="2">
        <f t="shared" si="1"/>
        <v>1.6666666666666666E-2</v>
      </c>
      <c r="F55" s="2">
        <f t="shared" si="3"/>
        <v>0.24999999999999997</v>
      </c>
      <c r="G55" s="3">
        <f t="shared" si="4"/>
        <v>15</v>
      </c>
      <c r="H55" s="4">
        <f>Tabla3[[#This Row],[frecuencia relativa acumulada]]</f>
        <v>0.24999999999999997</v>
      </c>
      <c r="L55">
        <v>32</v>
      </c>
    </row>
    <row r="56" spans="2:12" x14ac:dyDescent="0.25">
      <c r="B56">
        <v>55</v>
      </c>
      <c r="C56">
        <f t="shared" si="0"/>
        <v>1</v>
      </c>
      <c r="D56">
        <f t="shared" si="2"/>
        <v>16</v>
      </c>
      <c r="E56" s="2">
        <f t="shared" si="1"/>
        <v>1.6666666666666666E-2</v>
      </c>
      <c r="F56" s="2">
        <f t="shared" si="3"/>
        <v>0.26666666666666666</v>
      </c>
      <c r="G56" s="3">
        <f t="shared" si="4"/>
        <v>16</v>
      </c>
      <c r="H56" s="4">
        <f>Tabla3[[#This Row],[frecuencia relativa acumulada]]</f>
        <v>0.26666666666666666</v>
      </c>
      <c r="K56" t="s">
        <v>25</v>
      </c>
      <c r="L56">
        <v>34</v>
      </c>
    </row>
    <row r="57" spans="2:12" x14ac:dyDescent="0.25">
      <c r="B57">
        <v>57</v>
      </c>
      <c r="C57">
        <f t="shared" si="0"/>
        <v>1</v>
      </c>
      <c r="D57">
        <f t="shared" si="2"/>
        <v>17</v>
      </c>
      <c r="E57" s="2">
        <f t="shared" si="1"/>
        <v>1.6666666666666666E-2</v>
      </c>
      <c r="F57" s="2">
        <f t="shared" si="3"/>
        <v>0.28333333333333333</v>
      </c>
      <c r="G57" s="3">
        <f t="shared" si="4"/>
        <v>17</v>
      </c>
      <c r="H57" s="4">
        <f>Tabla3[[#This Row],[frecuencia relativa acumulada]]</f>
        <v>0.28333333333333333</v>
      </c>
      <c r="K57">
        <f>L109-L50</f>
        <v>88</v>
      </c>
      <c r="L57">
        <v>36</v>
      </c>
    </row>
    <row r="58" spans="2:12" x14ac:dyDescent="0.25">
      <c r="B58">
        <v>60</v>
      </c>
      <c r="C58">
        <f t="shared" si="0"/>
        <v>2</v>
      </c>
      <c r="D58">
        <f t="shared" si="2"/>
        <v>19</v>
      </c>
      <c r="E58" s="2">
        <f t="shared" si="1"/>
        <v>3.3333333333333333E-2</v>
      </c>
      <c r="F58" s="2">
        <f t="shared" si="3"/>
        <v>0.31666666666666665</v>
      </c>
      <c r="G58" s="3">
        <f t="shared" si="4"/>
        <v>19</v>
      </c>
      <c r="H58" s="4">
        <f>Tabla3[[#This Row],[frecuencia relativa acumulada]]</f>
        <v>0.31666666666666665</v>
      </c>
      <c r="L58">
        <v>41</v>
      </c>
    </row>
    <row r="59" spans="2:12" x14ac:dyDescent="0.25">
      <c r="B59">
        <v>61</v>
      </c>
      <c r="C59">
        <f t="shared" si="0"/>
        <v>1</v>
      </c>
      <c r="D59">
        <f t="shared" si="2"/>
        <v>20</v>
      </c>
      <c r="E59" s="2">
        <f t="shared" si="1"/>
        <v>1.6666666666666666E-2</v>
      </c>
      <c r="F59" s="2">
        <f t="shared" si="3"/>
        <v>0.33333333333333331</v>
      </c>
      <c r="G59" s="3">
        <f t="shared" si="4"/>
        <v>20</v>
      </c>
      <c r="H59" s="4">
        <f>Tabla3[[#This Row],[frecuencia relativa acumulada]]</f>
        <v>0.33333333333333331</v>
      </c>
      <c r="L59">
        <v>41</v>
      </c>
    </row>
    <row r="60" spans="2:12" x14ac:dyDescent="0.25">
      <c r="B60">
        <v>62</v>
      </c>
      <c r="C60">
        <f t="shared" si="0"/>
        <v>1</v>
      </c>
      <c r="D60">
        <f t="shared" si="2"/>
        <v>21</v>
      </c>
      <c r="E60" s="2">
        <f t="shared" si="1"/>
        <v>1.6666666666666666E-2</v>
      </c>
      <c r="F60" s="2">
        <f t="shared" si="3"/>
        <v>0.35</v>
      </c>
      <c r="G60" s="3">
        <f t="shared" si="4"/>
        <v>21</v>
      </c>
      <c r="H60" s="4">
        <f>Tabla3[[#This Row],[frecuencia relativa acumulada]]</f>
        <v>0.35</v>
      </c>
      <c r="L60">
        <v>43</v>
      </c>
    </row>
    <row r="61" spans="2:12" x14ac:dyDescent="0.25">
      <c r="B61">
        <v>63</v>
      </c>
      <c r="C61">
        <f t="shared" si="0"/>
        <v>1</v>
      </c>
      <c r="D61">
        <f t="shared" si="2"/>
        <v>22</v>
      </c>
      <c r="E61" s="2">
        <f t="shared" si="1"/>
        <v>1.6666666666666666E-2</v>
      </c>
      <c r="F61" s="2">
        <f t="shared" si="3"/>
        <v>0.36666666666666664</v>
      </c>
      <c r="G61" s="3">
        <f t="shared" si="4"/>
        <v>22</v>
      </c>
      <c r="H61" s="4">
        <f>Tabla3[[#This Row],[frecuencia relativa acumulada]]</f>
        <v>0.36666666666666664</v>
      </c>
      <c r="L61">
        <v>48</v>
      </c>
    </row>
    <row r="62" spans="2:12" x14ac:dyDescent="0.25">
      <c r="B62">
        <v>64</v>
      </c>
      <c r="C62">
        <f t="shared" si="0"/>
        <v>2</v>
      </c>
      <c r="D62">
        <f t="shared" si="2"/>
        <v>24</v>
      </c>
      <c r="E62" s="2">
        <f t="shared" si="1"/>
        <v>3.3333333333333333E-2</v>
      </c>
      <c r="F62" s="2">
        <f t="shared" si="3"/>
        <v>0.39999999999999997</v>
      </c>
      <c r="G62" s="3">
        <f t="shared" si="4"/>
        <v>24</v>
      </c>
      <c r="H62" s="4">
        <f>Tabla3[[#This Row],[frecuencia relativa acumulada]]</f>
        <v>0.39999999999999997</v>
      </c>
      <c r="L62">
        <v>52</v>
      </c>
    </row>
    <row r="63" spans="2:12" x14ac:dyDescent="0.25">
      <c r="B63">
        <v>65</v>
      </c>
      <c r="C63">
        <f t="shared" si="0"/>
        <v>1</v>
      </c>
      <c r="D63">
        <f t="shared" si="2"/>
        <v>25</v>
      </c>
      <c r="E63" s="2">
        <f t="shared" si="1"/>
        <v>1.6666666666666666E-2</v>
      </c>
      <c r="F63" s="2">
        <f t="shared" si="3"/>
        <v>0.41666666666666663</v>
      </c>
      <c r="G63" s="3">
        <f t="shared" si="4"/>
        <v>25</v>
      </c>
      <c r="H63" s="4">
        <f>Tabla3[[#This Row],[frecuencia relativa acumulada]]</f>
        <v>0.41666666666666663</v>
      </c>
      <c r="L63">
        <v>52</v>
      </c>
    </row>
    <row r="64" spans="2:12" x14ac:dyDescent="0.25">
      <c r="B64">
        <v>67</v>
      </c>
      <c r="C64">
        <f t="shared" si="0"/>
        <v>2</v>
      </c>
      <c r="D64">
        <f t="shared" si="2"/>
        <v>27</v>
      </c>
      <c r="E64" s="2">
        <f t="shared" si="1"/>
        <v>3.3333333333333333E-2</v>
      </c>
      <c r="F64" s="2">
        <f t="shared" si="3"/>
        <v>0.44999999999999996</v>
      </c>
      <c r="G64" s="3">
        <f t="shared" si="4"/>
        <v>27</v>
      </c>
      <c r="H64" s="4">
        <f>Tabla3[[#This Row],[frecuencia relativa acumulada]]</f>
        <v>0.44999999999999996</v>
      </c>
      <c r="L64">
        <v>54</v>
      </c>
    </row>
    <row r="65" spans="2:12" x14ac:dyDescent="0.25">
      <c r="B65">
        <v>69</v>
      </c>
      <c r="C65">
        <f t="shared" si="0"/>
        <v>1</v>
      </c>
      <c r="D65">
        <f t="shared" si="2"/>
        <v>28</v>
      </c>
      <c r="E65" s="2">
        <f t="shared" si="1"/>
        <v>1.6666666666666666E-2</v>
      </c>
      <c r="F65" s="2">
        <f t="shared" si="3"/>
        <v>0.46666666666666662</v>
      </c>
      <c r="G65" s="3">
        <f t="shared" si="4"/>
        <v>28</v>
      </c>
      <c r="H65" s="4">
        <f>Tabla3[[#This Row],[frecuencia relativa acumulada]]</f>
        <v>0.46666666666666662</v>
      </c>
      <c r="L65">
        <v>55</v>
      </c>
    </row>
    <row r="66" spans="2:12" x14ac:dyDescent="0.25">
      <c r="B66">
        <v>70</v>
      </c>
      <c r="C66">
        <f t="shared" si="0"/>
        <v>1</v>
      </c>
      <c r="D66">
        <f t="shared" si="2"/>
        <v>29</v>
      </c>
      <c r="E66" s="2">
        <f t="shared" si="1"/>
        <v>1.6666666666666666E-2</v>
      </c>
      <c r="F66" s="2">
        <f t="shared" si="3"/>
        <v>0.48333333333333328</v>
      </c>
      <c r="G66" s="3">
        <f t="shared" si="4"/>
        <v>29</v>
      </c>
      <c r="H66" s="4">
        <f>Tabla3[[#This Row],[frecuencia relativa acumulada]]</f>
        <v>0.48333333333333328</v>
      </c>
      <c r="L66">
        <v>57</v>
      </c>
    </row>
    <row r="67" spans="2:12" x14ac:dyDescent="0.25">
      <c r="B67">
        <v>71</v>
      </c>
      <c r="C67">
        <f t="shared" si="0"/>
        <v>1</v>
      </c>
      <c r="D67">
        <f t="shared" si="2"/>
        <v>30</v>
      </c>
      <c r="E67" s="2">
        <f t="shared" si="1"/>
        <v>1.6666666666666666E-2</v>
      </c>
      <c r="F67" s="2">
        <f t="shared" si="3"/>
        <v>0.49999999999999994</v>
      </c>
      <c r="G67" s="3">
        <f t="shared" si="4"/>
        <v>30</v>
      </c>
      <c r="H67" s="4">
        <f>Tabla3[[#This Row],[frecuencia relativa acumulada]]</f>
        <v>0.49999999999999994</v>
      </c>
      <c r="L67">
        <v>60</v>
      </c>
    </row>
    <row r="68" spans="2:12" x14ac:dyDescent="0.25">
      <c r="B68">
        <v>72</v>
      </c>
      <c r="C68">
        <f t="shared" si="0"/>
        <v>1</v>
      </c>
      <c r="D68">
        <f t="shared" si="2"/>
        <v>31</v>
      </c>
      <c r="E68" s="2">
        <f t="shared" si="1"/>
        <v>1.6666666666666666E-2</v>
      </c>
      <c r="F68" s="2">
        <f t="shared" si="3"/>
        <v>0.51666666666666661</v>
      </c>
      <c r="G68" s="3">
        <f t="shared" si="4"/>
        <v>31</v>
      </c>
      <c r="H68" s="4">
        <f>Tabla3[[#This Row],[frecuencia relativa acumulada]]</f>
        <v>0.51666666666666661</v>
      </c>
      <c r="L68">
        <v>60</v>
      </c>
    </row>
    <row r="69" spans="2:12" x14ac:dyDescent="0.25">
      <c r="B69">
        <v>74</v>
      </c>
      <c r="C69">
        <f t="shared" si="0"/>
        <v>3</v>
      </c>
      <c r="D69">
        <f t="shared" si="2"/>
        <v>34</v>
      </c>
      <c r="E69" s="2">
        <f t="shared" si="1"/>
        <v>0.05</v>
      </c>
      <c r="F69" s="2">
        <f t="shared" si="3"/>
        <v>0.56666666666666665</v>
      </c>
      <c r="G69" s="3">
        <f t="shared" si="4"/>
        <v>34</v>
      </c>
      <c r="H69" s="4">
        <f>Tabla3[[#This Row],[frecuencia relativa acumulada]]</f>
        <v>0.56666666666666665</v>
      </c>
      <c r="L69">
        <v>61</v>
      </c>
    </row>
    <row r="70" spans="2:12" x14ac:dyDescent="0.25">
      <c r="B70">
        <v>75</v>
      </c>
      <c r="C70">
        <f t="shared" si="0"/>
        <v>1</v>
      </c>
      <c r="D70">
        <f t="shared" si="2"/>
        <v>35</v>
      </c>
      <c r="E70" s="2">
        <f t="shared" si="1"/>
        <v>1.6666666666666666E-2</v>
      </c>
      <c r="F70" s="2">
        <f t="shared" si="3"/>
        <v>0.58333333333333337</v>
      </c>
      <c r="G70" s="3">
        <f t="shared" si="4"/>
        <v>35</v>
      </c>
      <c r="H70" s="4">
        <f>Tabla3[[#This Row],[frecuencia relativa acumulada]]</f>
        <v>0.58333333333333337</v>
      </c>
      <c r="L70">
        <v>62</v>
      </c>
    </row>
    <row r="71" spans="2:12" x14ac:dyDescent="0.25">
      <c r="B71">
        <v>76</v>
      </c>
      <c r="C71">
        <f t="shared" si="0"/>
        <v>2</v>
      </c>
      <c r="D71">
        <f t="shared" si="2"/>
        <v>37</v>
      </c>
      <c r="E71" s="2">
        <f t="shared" si="1"/>
        <v>3.3333333333333333E-2</v>
      </c>
      <c r="F71" s="2">
        <f t="shared" si="3"/>
        <v>0.6166666666666667</v>
      </c>
      <c r="G71" s="3">
        <f t="shared" si="4"/>
        <v>37</v>
      </c>
      <c r="H71" s="4">
        <f>Tabla3[[#This Row],[frecuencia relativa acumulada]]</f>
        <v>0.6166666666666667</v>
      </c>
      <c r="L71">
        <v>63</v>
      </c>
    </row>
    <row r="72" spans="2:12" x14ac:dyDescent="0.25">
      <c r="B72">
        <v>77</v>
      </c>
      <c r="C72">
        <f t="shared" si="0"/>
        <v>1</v>
      </c>
      <c r="D72">
        <f t="shared" si="2"/>
        <v>38</v>
      </c>
      <c r="E72" s="2">
        <f t="shared" si="1"/>
        <v>1.6666666666666666E-2</v>
      </c>
      <c r="F72" s="2">
        <f t="shared" si="3"/>
        <v>0.63333333333333341</v>
      </c>
      <c r="G72" s="3">
        <f t="shared" si="4"/>
        <v>38</v>
      </c>
      <c r="H72" s="4">
        <f>Tabla3[[#This Row],[frecuencia relativa acumulada]]</f>
        <v>0.63333333333333341</v>
      </c>
      <c r="L72">
        <v>64</v>
      </c>
    </row>
    <row r="73" spans="2:12" x14ac:dyDescent="0.25">
      <c r="B73">
        <v>78</v>
      </c>
      <c r="C73">
        <f t="shared" si="0"/>
        <v>2</v>
      </c>
      <c r="D73">
        <f t="shared" si="2"/>
        <v>40</v>
      </c>
      <c r="E73" s="2">
        <f t="shared" si="1"/>
        <v>3.3333333333333333E-2</v>
      </c>
      <c r="F73" s="2">
        <f t="shared" si="3"/>
        <v>0.66666666666666674</v>
      </c>
      <c r="G73" s="3">
        <f t="shared" si="4"/>
        <v>40</v>
      </c>
      <c r="H73" s="4">
        <f>Tabla3[[#This Row],[frecuencia relativa acumulada]]</f>
        <v>0.66666666666666674</v>
      </c>
      <c r="L73">
        <v>64</v>
      </c>
    </row>
    <row r="74" spans="2:12" x14ac:dyDescent="0.25">
      <c r="B74">
        <v>79</v>
      </c>
      <c r="C74">
        <f t="shared" si="0"/>
        <v>2</v>
      </c>
      <c r="D74">
        <f t="shared" si="2"/>
        <v>42</v>
      </c>
      <c r="E74" s="2">
        <f t="shared" si="1"/>
        <v>3.3333333333333333E-2</v>
      </c>
      <c r="F74" s="2">
        <f t="shared" si="3"/>
        <v>0.70000000000000007</v>
      </c>
      <c r="G74" s="3">
        <f t="shared" si="4"/>
        <v>42</v>
      </c>
      <c r="H74" s="4">
        <f>Tabla3[[#This Row],[frecuencia relativa acumulada]]</f>
        <v>0.70000000000000007</v>
      </c>
      <c r="L74">
        <v>65</v>
      </c>
    </row>
    <row r="75" spans="2:12" x14ac:dyDescent="0.25">
      <c r="B75">
        <v>80</v>
      </c>
      <c r="C75">
        <f t="shared" si="0"/>
        <v>3</v>
      </c>
      <c r="D75">
        <f t="shared" si="2"/>
        <v>45</v>
      </c>
      <c r="E75" s="2">
        <f t="shared" si="1"/>
        <v>0.05</v>
      </c>
      <c r="F75" s="2">
        <f t="shared" si="3"/>
        <v>0.75000000000000011</v>
      </c>
      <c r="G75" s="3">
        <f t="shared" si="4"/>
        <v>45</v>
      </c>
      <c r="H75" s="4">
        <f>Tabla3[[#This Row],[frecuencia relativa acumulada]]</f>
        <v>0.75000000000000011</v>
      </c>
      <c r="L75">
        <v>67</v>
      </c>
    </row>
    <row r="76" spans="2:12" x14ac:dyDescent="0.25">
      <c r="B76">
        <v>81</v>
      </c>
      <c r="C76">
        <f t="shared" si="0"/>
        <v>2</v>
      </c>
      <c r="D76">
        <f t="shared" si="2"/>
        <v>47</v>
      </c>
      <c r="E76" s="2">
        <f t="shared" si="1"/>
        <v>3.3333333333333333E-2</v>
      </c>
      <c r="F76" s="2">
        <f t="shared" si="3"/>
        <v>0.78333333333333344</v>
      </c>
      <c r="G76" s="3">
        <f t="shared" si="4"/>
        <v>47</v>
      </c>
      <c r="H76" s="4">
        <f>Tabla3[[#This Row],[frecuencia relativa acumulada]]</f>
        <v>0.78333333333333344</v>
      </c>
      <c r="L76">
        <v>67</v>
      </c>
    </row>
    <row r="77" spans="2:12" x14ac:dyDescent="0.25">
      <c r="B77">
        <v>82</v>
      </c>
      <c r="C77">
        <f t="shared" si="0"/>
        <v>2</v>
      </c>
      <c r="D77">
        <f t="shared" si="2"/>
        <v>49</v>
      </c>
      <c r="E77" s="2">
        <f t="shared" si="1"/>
        <v>3.3333333333333333E-2</v>
      </c>
      <c r="F77" s="2">
        <f t="shared" si="3"/>
        <v>0.81666666666666676</v>
      </c>
      <c r="G77" s="3">
        <f t="shared" si="4"/>
        <v>49</v>
      </c>
      <c r="H77" s="4">
        <f>Tabla3[[#This Row],[frecuencia relativa acumulada]]</f>
        <v>0.81666666666666676</v>
      </c>
      <c r="L77">
        <v>69</v>
      </c>
    </row>
    <row r="78" spans="2:12" x14ac:dyDescent="0.25">
      <c r="B78">
        <v>83</v>
      </c>
      <c r="C78">
        <f t="shared" si="0"/>
        <v>1</v>
      </c>
      <c r="D78">
        <f t="shared" si="2"/>
        <v>50</v>
      </c>
      <c r="E78" s="2">
        <f t="shared" si="1"/>
        <v>1.6666666666666666E-2</v>
      </c>
      <c r="F78" s="2">
        <f t="shared" si="3"/>
        <v>0.83333333333333348</v>
      </c>
      <c r="G78" s="3">
        <f t="shared" si="4"/>
        <v>50</v>
      </c>
      <c r="H78" s="4">
        <f>Tabla3[[#This Row],[frecuencia relativa acumulada]]</f>
        <v>0.83333333333333348</v>
      </c>
      <c r="L78">
        <v>70</v>
      </c>
    </row>
    <row r="79" spans="2:12" x14ac:dyDescent="0.25">
      <c r="B79">
        <v>84</v>
      </c>
      <c r="C79">
        <f t="shared" si="0"/>
        <v>2</v>
      </c>
      <c r="D79">
        <f t="shared" si="2"/>
        <v>52</v>
      </c>
      <c r="E79" s="2">
        <f t="shared" si="1"/>
        <v>3.3333333333333333E-2</v>
      </c>
      <c r="F79" s="2">
        <f t="shared" si="3"/>
        <v>0.86666666666666681</v>
      </c>
      <c r="G79" s="3">
        <f t="shared" si="4"/>
        <v>52</v>
      </c>
      <c r="H79" s="4">
        <f>Tabla3[[#This Row],[frecuencia relativa acumulada]]</f>
        <v>0.86666666666666681</v>
      </c>
      <c r="L79">
        <v>71</v>
      </c>
    </row>
    <row r="80" spans="2:12" x14ac:dyDescent="0.25">
      <c r="B80">
        <v>85</v>
      </c>
      <c r="C80">
        <f t="shared" si="0"/>
        <v>2</v>
      </c>
      <c r="D80">
        <f t="shared" si="2"/>
        <v>54</v>
      </c>
      <c r="E80" s="2">
        <f t="shared" si="1"/>
        <v>3.3333333333333333E-2</v>
      </c>
      <c r="F80" s="2">
        <f t="shared" si="3"/>
        <v>0.90000000000000013</v>
      </c>
      <c r="G80" s="3">
        <f t="shared" si="4"/>
        <v>54</v>
      </c>
      <c r="H80" s="4">
        <f>Tabla3[[#This Row],[frecuencia relativa acumulada]]</f>
        <v>0.90000000000000013</v>
      </c>
      <c r="L80">
        <v>72</v>
      </c>
    </row>
    <row r="81" spans="2:12" x14ac:dyDescent="0.25">
      <c r="B81">
        <v>88</v>
      </c>
      <c r="C81">
        <f t="shared" si="0"/>
        <v>1</v>
      </c>
      <c r="D81">
        <f t="shared" si="2"/>
        <v>55</v>
      </c>
      <c r="E81" s="2">
        <f t="shared" si="1"/>
        <v>1.6666666666666666E-2</v>
      </c>
      <c r="F81" s="2">
        <f t="shared" si="3"/>
        <v>0.91666666666666685</v>
      </c>
      <c r="G81" s="3">
        <f t="shared" si="4"/>
        <v>55</v>
      </c>
      <c r="H81" s="4">
        <f>Tabla3[[#This Row],[frecuencia relativa acumulada]]</f>
        <v>0.91666666666666685</v>
      </c>
      <c r="L81">
        <v>74</v>
      </c>
    </row>
    <row r="82" spans="2:12" x14ac:dyDescent="0.25">
      <c r="B82">
        <v>89</v>
      </c>
      <c r="C82">
        <f t="shared" si="0"/>
        <v>1</v>
      </c>
      <c r="D82">
        <f t="shared" si="2"/>
        <v>56</v>
      </c>
      <c r="E82" s="2">
        <f t="shared" si="1"/>
        <v>1.6666666666666666E-2</v>
      </c>
      <c r="F82" s="2">
        <f t="shared" si="3"/>
        <v>0.93333333333333357</v>
      </c>
      <c r="G82" s="3">
        <f t="shared" si="4"/>
        <v>56</v>
      </c>
      <c r="H82" s="4">
        <f>Tabla3[[#This Row],[frecuencia relativa acumulada]]</f>
        <v>0.93333333333333357</v>
      </c>
      <c r="L82">
        <v>74</v>
      </c>
    </row>
    <row r="83" spans="2:12" x14ac:dyDescent="0.25">
      <c r="B83">
        <v>90</v>
      </c>
      <c r="C83">
        <f t="shared" si="0"/>
        <v>1</v>
      </c>
      <c r="D83">
        <f t="shared" si="2"/>
        <v>57</v>
      </c>
      <c r="E83" s="2">
        <f t="shared" si="1"/>
        <v>1.6666666666666666E-2</v>
      </c>
      <c r="F83" s="2">
        <f t="shared" si="3"/>
        <v>0.95000000000000029</v>
      </c>
      <c r="G83" s="3">
        <f t="shared" si="4"/>
        <v>57</v>
      </c>
      <c r="H83" s="4">
        <f>Tabla3[[#This Row],[frecuencia relativa acumulada]]</f>
        <v>0.95000000000000029</v>
      </c>
      <c r="L83">
        <v>74</v>
      </c>
    </row>
    <row r="84" spans="2:12" x14ac:dyDescent="0.25">
      <c r="B84">
        <v>92</v>
      </c>
      <c r="C84">
        <f t="shared" si="0"/>
        <v>1</v>
      </c>
      <c r="D84">
        <f t="shared" si="2"/>
        <v>58</v>
      </c>
      <c r="E84" s="2">
        <f t="shared" si="1"/>
        <v>1.6666666666666666E-2</v>
      </c>
      <c r="F84" s="2">
        <f t="shared" si="3"/>
        <v>0.96666666666666701</v>
      </c>
      <c r="G84" s="3">
        <f t="shared" si="4"/>
        <v>58</v>
      </c>
      <c r="H84" s="4">
        <f>Tabla3[[#This Row],[frecuencia relativa acumulada]]</f>
        <v>0.96666666666666701</v>
      </c>
      <c r="L84">
        <v>75</v>
      </c>
    </row>
    <row r="85" spans="2:12" x14ac:dyDescent="0.25">
      <c r="B85">
        <v>95</v>
      </c>
      <c r="C85">
        <f t="shared" si="0"/>
        <v>1</v>
      </c>
      <c r="D85">
        <f t="shared" si="2"/>
        <v>59</v>
      </c>
      <c r="E85" s="2">
        <f t="shared" si="1"/>
        <v>1.6666666666666666E-2</v>
      </c>
      <c r="F85" s="2">
        <f t="shared" si="3"/>
        <v>0.98333333333333373</v>
      </c>
      <c r="G85" s="3">
        <f t="shared" si="4"/>
        <v>59</v>
      </c>
      <c r="H85" s="4">
        <f>Tabla3[[#This Row],[frecuencia relativa acumulada]]</f>
        <v>0.98333333333333373</v>
      </c>
      <c r="L85">
        <v>76</v>
      </c>
    </row>
    <row r="86" spans="2:12" x14ac:dyDescent="0.25">
      <c r="B86">
        <v>98</v>
      </c>
      <c r="C86">
        <f t="shared" si="0"/>
        <v>1</v>
      </c>
      <c r="D86">
        <f t="shared" si="2"/>
        <v>60</v>
      </c>
      <c r="E86" s="2">
        <f t="shared" si="1"/>
        <v>1.6666666666666666E-2</v>
      </c>
      <c r="F86" s="2">
        <f t="shared" si="3"/>
        <v>1.0000000000000004</v>
      </c>
      <c r="G86" s="3">
        <f t="shared" si="4"/>
        <v>60</v>
      </c>
      <c r="H86" s="4">
        <f>Tabla3[[#This Row],[frecuencia relativa acumulada]]</f>
        <v>1.0000000000000004</v>
      </c>
      <c r="L86">
        <v>76</v>
      </c>
    </row>
    <row r="87" spans="2:12" x14ac:dyDescent="0.25">
      <c r="B87" t="s">
        <v>22</v>
      </c>
      <c r="C87">
        <f>SUM(C43:C86)</f>
        <v>60</v>
      </c>
      <c r="L87">
        <v>77</v>
      </c>
    </row>
    <row r="88" spans="2:12" x14ac:dyDescent="0.25">
      <c r="L88">
        <v>78</v>
      </c>
    </row>
    <row r="89" spans="2:12" x14ac:dyDescent="0.25">
      <c r="L89">
        <v>78</v>
      </c>
    </row>
    <row r="90" spans="2:12" x14ac:dyDescent="0.25">
      <c r="L90">
        <v>79</v>
      </c>
    </row>
    <row r="91" spans="2:12" x14ac:dyDescent="0.25">
      <c r="L91">
        <v>79</v>
      </c>
    </row>
    <row r="92" spans="2:12" x14ac:dyDescent="0.25">
      <c r="L92">
        <v>80</v>
      </c>
    </row>
    <row r="93" spans="2:12" x14ac:dyDescent="0.25">
      <c r="L93">
        <v>80</v>
      </c>
    </row>
    <row r="94" spans="2:12" x14ac:dyDescent="0.25">
      <c r="L94">
        <v>80</v>
      </c>
    </row>
    <row r="95" spans="2:12" x14ac:dyDescent="0.25">
      <c r="L95">
        <v>81</v>
      </c>
    </row>
    <row r="96" spans="2:12" x14ac:dyDescent="0.25">
      <c r="L96">
        <v>81</v>
      </c>
    </row>
    <row r="97" spans="12:12" x14ac:dyDescent="0.25">
      <c r="L97">
        <v>82</v>
      </c>
    </row>
    <row r="98" spans="12:12" x14ac:dyDescent="0.25">
      <c r="L98">
        <v>82</v>
      </c>
    </row>
    <row r="99" spans="12:12" x14ac:dyDescent="0.25">
      <c r="L99">
        <v>83</v>
      </c>
    </row>
    <row r="100" spans="12:12" x14ac:dyDescent="0.25">
      <c r="L100">
        <v>84</v>
      </c>
    </row>
    <row r="101" spans="12:12" x14ac:dyDescent="0.25">
      <c r="L101">
        <v>84</v>
      </c>
    </row>
    <row r="102" spans="12:12" x14ac:dyDescent="0.25">
      <c r="L102">
        <v>85</v>
      </c>
    </row>
    <row r="103" spans="12:12" x14ac:dyDescent="0.25">
      <c r="L103">
        <v>85</v>
      </c>
    </row>
    <row r="104" spans="12:12" x14ac:dyDescent="0.25">
      <c r="L104">
        <v>88</v>
      </c>
    </row>
    <row r="105" spans="12:12" x14ac:dyDescent="0.25">
      <c r="L105">
        <v>89</v>
      </c>
    </row>
    <row r="106" spans="12:12" x14ac:dyDescent="0.25">
      <c r="L106">
        <v>90</v>
      </c>
    </row>
    <row r="107" spans="12:12" x14ac:dyDescent="0.25">
      <c r="L107">
        <v>92</v>
      </c>
    </row>
    <row r="108" spans="12:12" x14ac:dyDescent="0.25">
      <c r="L108">
        <v>95</v>
      </c>
    </row>
    <row r="109" spans="12:12" x14ac:dyDescent="0.25">
      <c r="L109">
        <v>98</v>
      </c>
    </row>
    <row r="114" spans="10:10" x14ac:dyDescent="0.25">
      <c r="J114" s="19"/>
    </row>
  </sheetData>
  <sortState ref="L50:L109">
    <sortCondition ref="L50"/>
  </sortState>
  <mergeCells count="2">
    <mergeCell ref="B25:C25"/>
    <mergeCell ref="B2:D3"/>
  </mergeCells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5785E-00B0-4D18-A951-CF7EED6206DF}">
  <dimension ref="B2:P96"/>
  <sheetViews>
    <sheetView zoomScale="59" workbookViewId="0">
      <selection activeCell="B2" sqref="B2:E2"/>
    </sheetView>
  </sheetViews>
  <sheetFormatPr baseColWidth="10" defaultRowHeight="15" x14ac:dyDescent="0.25"/>
  <cols>
    <col min="2" max="2" width="13.140625" bestFit="1" customWidth="1"/>
    <col min="5" max="5" width="20.42578125" bestFit="1" customWidth="1"/>
    <col min="9" max="9" width="13.28515625" bestFit="1" customWidth="1"/>
    <col min="10" max="10" width="14.42578125" bestFit="1" customWidth="1"/>
    <col min="11" max="11" width="18.7109375" bestFit="1" customWidth="1"/>
    <col min="12" max="12" width="19" bestFit="1" customWidth="1"/>
    <col min="15" max="15" width="26.7109375" bestFit="1" customWidth="1"/>
    <col min="16" max="16" width="13.140625" bestFit="1" customWidth="1"/>
  </cols>
  <sheetData>
    <row r="2" spans="2:16" ht="33.75" x14ac:dyDescent="0.5">
      <c r="B2" s="151" t="s">
        <v>50</v>
      </c>
      <c r="C2" s="151"/>
      <c r="D2" s="151"/>
      <c r="E2" s="151"/>
    </row>
    <row r="4" spans="2:16" ht="15.75" thickBot="1" x14ac:dyDescent="0.3">
      <c r="B4" s="6" t="s">
        <v>26</v>
      </c>
      <c r="C4" s="6" t="s">
        <v>27</v>
      </c>
      <c r="D4" s="6" t="s">
        <v>28</v>
      </c>
      <c r="E4" s="6" t="s">
        <v>29</v>
      </c>
      <c r="G4" s="7" t="s">
        <v>28</v>
      </c>
      <c r="H4" s="7" t="s">
        <v>30</v>
      </c>
      <c r="I4" s="7" t="s">
        <v>31</v>
      </c>
    </row>
    <row r="5" spans="2:16" x14ac:dyDescent="0.25">
      <c r="B5" s="8">
        <v>5</v>
      </c>
      <c r="C5" s="8">
        <v>1</v>
      </c>
      <c r="D5" s="8">
        <v>1</v>
      </c>
      <c r="E5" s="8">
        <f>COUNTIF($B$5:$B$40,D5)</f>
        <v>1</v>
      </c>
      <c r="G5" s="8">
        <v>5</v>
      </c>
      <c r="H5" s="9">
        <f t="shared" ref="H5:H40" si="0">G5-$L$6</f>
        <v>-0.61111111111111072</v>
      </c>
      <c r="I5" s="9">
        <f>H5^2</f>
        <v>0.37345679012345628</v>
      </c>
      <c r="K5" s="150" t="s">
        <v>32</v>
      </c>
      <c r="L5" s="150"/>
      <c r="O5" s="10" t="s">
        <v>26</v>
      </c>
      <c r="P5" s="10"/>
    </row>
    <row r="6" spans="2:16" x14ac:dyDescent="0.25">
      <c r="B6" s="8">
        <v>2</v>
      </c>
      <c r="C6" s="8">
        <v>2</v>
      </c>
      <c r="D6" s="8">
        <v>2</v>
      </c>
      <c r="E6" s="8">
        <f t="shared" ref="E6:E14" si="1">COUNTIF($B$5:$B$40,D6)</f>
        <v>2</v>
      </c>
      <c r="G6" s="8">
        <v>2</v>
      </c>
      <c r="H6" s="9">
        <f t="shared" si="0"/>
        <v>-3.6111111111111107</v>
      </c>
      <c r="I6" s="9">
        <f t="shared" ref="I6:I40" si="2">H6^2</f>
        <v>13.04012345679012</v>
      </c>
      <c r="K6" s="11" t="s">
        <v>33</v>
      </c>
      <c r="L6" s="8">
        <f>AVERAGE(B5:B40)</f>
        <v>5.6111111111111107</v>
      </c>
    </row>
    <row r="7" spans="2:16" x14ac:dyDescent="0.25">
      <c r="B7" s="8">
        <v>4</v>
      </c>
      <c r="C7" s="8">
        <v>2</v>
      </c>
      <c r="D7" s="8">
        <v>3</v>
      </c>
      <c r="E7" s="8">
        <f t="shared" si="1"/>
        <v>2</v>
      </c>
      <c r="G7" s="8">
        <v>4</v>
      </c>
      <c r="H7" s="9">
        <f t="shared" si="0"/>
        <v>-1.6111111111111107</v>
      </c>
      <c r="I7" s="9">
        <f t="shared" si="2"/>
        <v>2.5956790123456779</v>
      </c>
      <c r="K7" s="11" t="s">
        <v>34</v>
      </c>
      <c r="L7" s="8">
        <f>MEDIAN(B5:B40)</f>
        <v>5.5</v>
      </c>
      <c r="O7" t="s">
        <v>33</v>
      </c>
      <c r="P7">
        <v>5.628571428571429</v>
      </c>
    </row>
    <row r="8" spans="2:16" x14ac:dyDescent="0.25">
      <c r="B8" s="8">
        <v>9</v>
      </c>
      <c r="C8" s="8">
        <v>3</v>
      </c>
      <c r="D8" s="8">
        <v>4</v>
      </c>
      <c r="E8" s="8">
        <f t="shared" si="1"/>
        <v>4</v>
      </c>
      <c r="G8" s="8">
        <v>9</v>
      </c>
      <c r="H8" s="9">
        <f t="shared" si="0"/>
        <v>3.3888888888888893</v>
      </c>
      <c r="I8" s="9">
        <f t="shared" si="2"/>
        <v>11.48456790123457</v>
      </c>
      <c r="K8" s="11" t="s">
        <v>35</v>
      </c>
      <c r="L8" s="8">
        <f>MODE(B5:B40)</f>
        <v>5</v>
      </c>
      <c r="O8" t="s">
        <v>36</v>
      </c>
      <c r="P8">
        <v>0.359938636893751</v>
      </c>
    </row>
    <row r="9" spans="2:16" x14ac:dyDescent="0.25">
      <c r="B9" s="8">
        <v>7</v>
      </c>
      <c r="C9" s="8">
        <v>3</v>
      </c>
      <c r="D9" s="8">
        <v>5</v>
      </c>
      <c r="E9" s="8">
        <f t="shared" si="1"/>
        <v>9</v>
      </c>
      <c r="G9" s="8">
        <v>7</v>
      </c>
      <c r="H9" s="9">
        <f t="shared" si="0"/>
        <v>1.3888888888888893</v>
      </c>
      <c r="I9" s="9">
        <f t="shared" si="2"/>
        <v>1.9290123456790134</v>
      </c>
      <c r="O9" t="s">
        <v>34</v>
      </c>
      <c r="P9">
        <v>6</v>
      </c>
    </row>
    <row r="10" spans="2:16" x14ac:dyDescent="0.25">
      <c r="B10" s="8">
        <v>4</v>
      </c>
      <c r="C10" s="8">
        <v>4</v>
      </c>
      <c r="D10" s="8">
        <v>6</v>
      </c>
      <c r="E10" s="8">
        <f t="shared" si="1"/>
        <v>7</v>
      </c>
      <c r="G10" s="8">
        <v>4</v>
      </c>
      <c r="H10" s="9">
        <f t="shared" si="0"/>
        <v>-1.6111111111111107</v>
      </c>
      <c r="I10" s="9">
        <f t="shared" si="2"/>
        <v>2.5956790123456779</v>
      </c>
      <c r="K10" s="150" t="s">
        <v>37</v>
      </c>
      <c r="L10" s="150"/>
      <c r="O10" t="s">
        <v>35</v>
      </c>
      <c r="P10">
        <v>5</v>
      </c>
    </row>
    <row r="11" spans="2:16" x14ac:dyDescent="0.25">
      <c r="B11" s="8">
        <v>5</v>
      </c>
      <c r="C11" s="8">
        <v>4</v>
      </c>
      <c r="D11" s="8">
        <v>7</v>
      </c>
      <c r="E11" s="8">
        <f t="shared" si="1"/>
        <v>6</v>
      </c>
      <c r="G11" s="8">
        <v>5</v>
      </c>
      <c r="H11" s="9">
        <f t="shared" si="0"/>
        <v>-0.61111111111111072</v>
      </c>
      <c r="I11" s="9">
        <f t="shared" si="2"/>
        <v>0.37345679012345628</v>
      </c>
      <c r="K11" s="11" t="s">
        <v>25</v>
      </c>
      <c r="L11" s="12">
        <f>D14-D5</f>
        <v>9</v>
      </c>
      <c r="O11" t="s">
        <v>38</v>
      </c>
      <c r="P11">
        <v>2.129425692883554</v>
      </c>
    </row>
    <row r="12" spans="2:16" x14ac:dyDescent="0.25">
      <c r="B12" s="8">
        <v>6</v>
      </c>
      <c r="C12" s="8">
        <v>4</v>
      </c>
      <c r="D12" s="8">
        <v>8</v>
      </c>
      <c r="E12" s="8">
        <f t="shared" si="1"/>
        <v>1</v>
      </c>
      <c r="G12" s="8">
        <v>6</v>
      </c>
      <c r="H12" s="9">
        <f t="shared" si="0"/>
        <v>0.38888888888888928</v>
      </c>
      <c r="I12" s="9">
        <f t="shared" si="2"/>
        <v>0.15123456790123488</v>
      </c>
      <c r="K12" s="11" t="s">
        <v>39</v>
      </c>
      <c r="L12" s="13">
        <f>L13^2</f>
        <v>4.4158730158730179</v>
      </c>
      <c r="O12" t="s">
        <v>40</v>
      </c>
      <c r="P12">
        <v>4.5344537815126049</v>
      </c>
    </row>
    <row r="13" spans="2:16" x14ac:dyDescent="0.25">
      <c r="B13" s="8">
        <v>5</v>
      </c>
      <c r="C13" s="8">
        <v>4</v>
      </c>
      <c r="D13" s="8">
        <v>9</v>
      </c>
      <c r="E13" s="8">
        <f t="shared" si="1"/>
        <v>2</v>
      </c>
      <c r="G13" s="8">
        <v>5</v>
      </c>
      <c r="H13" s="9">
        <f t="shared" si="0"/>
        <v>-0.61111111111111072</v>
      </c>
      <c r="I13" s="9">
        <f t="shared" si="2"/>
        <v>0.37345679012345628</v>
      </c>
      <c r="K13" s="11" t="s">
        <v>41</v>
      </c>
      <c r="L13" s="13">
        <f>_xlfn.STDEV.S(B5:B40)</f>
        <v>2.1013978718636359</v>
      </c>
      <c r="O13" t="s">
        <v>42</v>
      </c>
      <c r="P13">
        <v>8.2144689796498582E-2</v>
      </c>
    </row>
    <row r="14" spans="2:16" x14ac:dyDescent="0.25">
      <c r="B14" s="8">
        <v>7</v>
      </c>
      <c r="C14" s="8">
        <v>5</v>
      </c>
      <c r="D14" s="8">
        <v>10</v>
      </c>
      <c r="E14" s="8">
        <f t="shared" si="1"/>
        <v>2</v>
      </c>
      <c r="G14" s="8">
        <v>7</v>
      </c>
      <c r="H14" s="9">
        <f t="shared" si="0"/>
        <v>1.3888888888888893</v>
      </c>
      <c r="I14" s="9">
        <f t="shared" si="2"/>
        <v>1.9290123456790134</v>
      </c>
      <c r="O14" t="s">
        <v>43</v>
      </c>
      <c r="P14">
        <v>7.296221365790391E-2</v>
      </c>
    </row>
    <row r="15" spans="2:16" x14ac:dyDescent="0.25">
      <c r="B15" s="8">
        <v>7</v>
      </c>
      <c r="C15" s="8">
        <v>5</v>
      </c>
      <c r="G15" s="8">
        <v>7</v>
      </c>
      <c r="H15" s="9">
        <f t="shared" si="0"/>
        <v>1.3888888888888893</v>
      </c>
      <c r="I15" s="9">
        <f t="shared" si="2"/>
        <v>1.9290123456790134</v>
      </c>
      <c r="O15" t="s">
        <v>25</v>
      </c>
      <c r="P15">
        <v>9</v>
      </c>
    </row>
    <row r="16" spans="2:16" x14ac:dyDescent="0.25">
      <c r="B16" s="8">
        <v>5</v>
      </c>
      <c r="C16" s="8">
        <v>5</v>
      </c>
      <c r="G16" s="8">
        <v>5</v>
      </c>
      <c r="H16" s="9">
        <f t="shared" si="0"/>
        <v>-0.61111111111111072</v>
      </c>
      <c r="I16" s="9">
        <f t="shared" si="2"/>
        <v>0.37345679012345628</v>
      </c>
      <c r="O16" t="s">
        <v>44</v>
      </c>
      <c r="P16">
        <v>1</v>
      </c>
    </row>
    <row r="17" spans="2:16" x14ac:dyDescent="0.25">
      <c r="B17" s="8">
        <v>5</v>
      </c>
      <c r="C17" s="8">
        <v>5</v>
      </c>
      <c r="G17" s="8">
        <v>5</v>
      </c>
      <c r="H17" s="9">
        <f t="shared" si="0"/>
        <v>-0.61111111111111072</v>
      </c>
      <c r="I17" s="9">
        <f t="shared" si="2"/>
        <v>0.37345679012345628</v>
      </c>
      <c r="O17" t="s">
        <v>45</v>
      </c>
      <c r="P17">
        <v>10</v>
      </c>
    </row>
    <row r="18" spans="2:16" x14ac:dyDescent="0.25">
      <c r="B18" s="8">
        <v>8</v>
      </c>
      <c r="C18" s="8">
        <v>5</v>
      </c>
      <c r="G18" s="8">
        <v>8</v>
      </c>
      <c r="H18" s="9">
        <f t="shared" si="0"/>
        <v>2.3888888888888893</v>
      </c>
      <c r="I18" s="9">
        <f t="shared" si="2"/>
        <v>5.7067901234567922</v>
      </c>
      <c r="O18" t="s">
        <v>46</v>
      </c>
      <c r="P18">
        <v>197</v>
      </c>
    </row>
    <row r="19" spans="2:16" x14ac:dyDescent="0.25">
      <c r="B19" s="8">
        <v>2</v>
      </c>
      <c r="C19" s="8">
        <v>5</v>
      </c>
      <c r="G19" s="8">
        <v>2</v>
      </c>
      <c r="H19" s="9">
        <f t="shared" si="0"/>
        <v>-3.6111111111111107</v>
      </c>
      <c r="I19" s="9">
        <f t="shared" si="2"/>
        <v>13.04012345679012</v>
      </c>
      <c r="O19" t="s">
        <v>47</v>
      </c>
      <c r="P19">
        <v>35</v>
      </c>
    </row>
    <row r="20" spans="2:16" ht="15.75" thickBot="1" x14ac:dyDescent="0.3">
      <c r="B20" s="8">
        <v>10</v>
      </c>
      <c r="C20" s="8">
        <v>5</v>
      </c>
      <c r="G20" s="8">
        <v>10</v>
      </c>
      <c r="H20" s="9">
        <f t="shared" si="0"/>
        <v>4.3888888888888893</v>
      </c>
      <c r="I20" s="9">
        <f t="shared" si="2"/>
        <v>19.262345679012348</v>
      </c>
      <c r="O20" s="14" t="s">
        <v>48</v>
      </c>
      <c r="P20" s="14">
        <v>0.73148331851862969</v>
      </c>
    </row>
    <row r="21" spans="2:16" x14ac:dyDescent="0.25">
      <c r="B21" s="8">
        <v>5</v>
      </c>
      <c r="C21" s="8">
        <v>5</v>
      </c>
      <c r="G21" s="8">
        <v>5</v>
      </c>
      <c r="H21" s="9">
        <f t="shared" si="0"/>
        <v>-0.61111111111111072</v>
      </c>
      <c r="I21" s="9">
        <f t="shared" si="2"/>
        <v>0.37345679012345628</v>
      </c>
    </row>
    <row r="22" spans="2:16" x14ac:dyDescent="0.25">
      <c r="B22" s="8">
        <v>6</v>
      </c>
      <c r="C22" s="8">
        <v>5</v>
      </c>
      <c r="G22" s="8">
        <v>6</v>
      </c>
      <c r="H22" s="9">
        <f t="shared" si="0"/>
        <v>0.38888888888888928</v>
      </c>
      <c r="I22" s="9">
        <f t="shared" si="2"/>
        <v>0.15123456790123488</v>
      </c>
    </row>
    <row r="23" spans="2:16" x14ac:dyDescent="0.25">
      <c r="B23" s="8">
        <v>10</v>
      </c>
      <c r="C23" s="8">
        <v>6</v>
      </c>
      <c r="G23" s="8">
        <v>10</v>
      </c>
      <c r="H23" s="9">
        <f t="shared" si="0"/>
        <v>4.3888888888888893</v>
      </c>
      <c r="I23" s="9">
        <f t="shared" si="2"/>
        <v>19.262345679012348</v>
      </c>
    </row>
    <row r="24" spans="2:16" x14ac:dyDescent="0.25">
      <c r="B24" s="8">
        <v>4</v>
      </c>
      <c r="C24" s="8">
        <v>6</v>
      </c>
      <c r="G24" s="8">
        <v>4</v>
      </c>
      <c r="H24" s="9">
        <f t="shared" si="0"/>
        <v>-1.6111111111111107</v>
      </c>
      <c r="I24" s="9">
        <f t="shared" si="2"/>
        <v>2.5956790123456779</v>
      </c>
    </row>
    <row r="25" spans="2:16" x14ac:dyDescent="0.25">
      <c r="B25" s="8">
        <v>7</v>
      </c>
      <c r="C25" s="8">
        <v>6</v>
      </c>
      <c r="G25" s="8">
        <v>7</v>
      </c>
      <c r="H25" s="9">
        <f t="shared" si="0"/>
        <v>1.3888888888888893</v>
      </c>
      <c r="I25" s="9">
        <f t="shared" si="2"/>
        <v>1.9290123456790134</v>
      </c>
    </row>
    <row r="26" spans="2:16" x14ac:dyDescent="0.25">
      <c r="B26" s="8">
        <v>6</v>
      </c>
      <c r="C26" s="8">
        <v>6</v>
      </c>
      <c r="G26" s="8">
        <v>6</v>
      </c>
      <c r="H26" s="9">
        <f t="shared" si="0"/>
        <v>0.38888888888888928</v>
      </c>
      <c r="I26" s="9">
        <f t="shared" si="2"/>
        <v>0.15123456790123488</v>
      </c>
    </row>
    <row r="27" spans="2:16" x14ac:dyDescent="0.25">
      <c r="B27" s="8">
        <v>7</v>
      </c>
      <c r="C27" s="8">
        <v>6</v>
      </c>
      <c r="G27" s="8">
        <v>7</v>
      </c>
      <c r="H27" s="9">
        <f t="shared" si="0"/>
        <v>1.3888888888888893</v>
      </c>
      <c r="I27" s="9">
        <f t="shared" si="2"/>
        <v>1.9290123456790134</v>
      </c>
    </row>
    <row r="28" spans="2:16" x14ac:dyDescent="0.25">
      <c r="B28" s="8">
        <v>3</v>
      </c>
      <c r="C28" s="8">
        <v>6</v>
      </c>
      <c r="G28" s="8">
        <v>3</v>
      </c>
      <c r="H28" s="9">
        <f t="shared" si="0"/>
        <v>-2.6111111111111107</v>
      </c>
      <c r="I28" s="9">
        <f t="shared" si="2"/>
        <v>6.8179012345678993</v>
      </c>
    </row>
    <row r="29" spans="2:16" x14ac:dyDescent="0.25">
      <c r="B29" s="8">
        <v>5</v>
      </c>
      <c r="C29" s="8">
        <v>6</v>
      </c>
      <c r="G29" s="8">
        <v>5</v>
      </c>
      <c r="H29" s="9">
        <f t="shared" si="0"/>
        <v>-0.61111111111111072</v>
      </c>
      <c r="I29" s="9">
        <f t="shared" si="2"/>
        <v>0.37345679012345628</v>
      </c>
    </row>
    <row r="30" spans="2:16" x14ac:dyDescent="0.25">
      <c r="B30" s="8">
        <v>6</v>
      </c>
      <c r="C30" s="8">
        <v>7</v>
      </c>
      <c r="G30" s="8">
        <v>6</v>
      </c>
      <c r="H30" s="9">
        <f t="shared" si="0"/>
        <v>0.38888888888888928</v>
      </c>
      <c r="I30" s="9">
        <f t="shared" si="2"/>
        <v>0.15123456790123488</v>
      </c>
    </row>
    <row r="31" spans="2:16" x14ac:dyDescent="0.25">
      <c r="B31" s="8">
        <v>9</v>
      </c>
      <c r="C31" s="8">
        <v>7</v>
      </c>
      <c r="G31" s="8">
        <v>9</v>
      </c>
      <c r="H31" s="9">
        <f t="shared" si="0"/>
        <v>3.3888888888888893</v>
      </c>
      <c r="I31" s="9">
        <f t="shared" si="2"/>
        <v>11.48456790123457</v>
      </c>
    </row>
    <row r="32" spans="2:16" x14ac:dyDescent="0.25">
      <c r="B32" s="8">
        <v>6</v>
      </c>
      <c r="C32" s="8">
        <v>7</v>
      </c>
      <c r="G32" s="8">
        <v>6</v>
      </c>
      <c r="H32" s="9">
        <f t="shared" si="0"/>
        <v>0.38888888888888928</v>
      </c>
      <c r="I32" s="9">
        <f t="shared" si="2"/>
        <v>0.15123456790123488</v>
      </c>
    </row>
    <row r="33" spans="2:15" x14ac:dyDescent="0.25">
      <c r="B33" s="8">
        <v>1</v>
      </c>
      <c r="C33" s="8">
        <v>7</v>
      </c>
      <c r="G33" s="8">
        <v>1</v>
      </c>
      <c r="H33" s="9">
        <f t="shared" si="0"/>
        <v>-4.6111111111111107</v>
      </c>
      <c r="I33" s="9">
        <f t="shared" si="2"/>
        <v>21.262345679012341</v>
      </c>
    </row>
    <row r="34" spans="2:15" x14ac:dyDescent="0.25">
      <c r="B34" s="8">
        <v>4</v>
      </c>
      <c r="C34" s="8">
        <v>7</v>
      </c>
      <c r="G34" s="8">
        <v>4</v>
      </c>
      <c r="H34" s="9">
        <f t="shared" si="0"/>
        <v>-1.6111111111111107</v>
      </c>
      <c r="I34" s="9">
        <f t="shared" si="2"/>
        <v>2.5956790123456779</v>
      </c>
    </row>
    <row r="35" spans="2:15" x14ac:dyDescent="0.25">
      <c r="B35" s="8">
        <v>6</v>
      </c>
      <c r="C35" s="8">
        <v>7</v>
      </c>
      <c r="G35" s="8">
        <v>6</v>
      </c>
      <c r="H35" s="9">
        <f t="shared" si="0"/>
        <v>0.38888888888888928</v>
      </c>
      <c r="I35" s="9">
        <f t="shared" si="2"/>
        <v>0.15123456790123488</v>
      </c>
    </row>
    <row r="36" spans="2:15" x14ac:dyDescent="0.25">
      <c r="B36" s="8">
        <v>3</v>
      </c>
      <c r="C36" s="8">
        <v>8</v>
      </c>
      <c r="G36" s="8">
        <v>3</v>
      </c>
      <c r="H36" s="9">
        <f t="shared" si="0"/>
        <v>-2.6111111111111107</v>
      </c>
      <c r="I36" s="9">
        <f t="shared" si="2"/>
        <v>6.8179012345678993</v>
      </c>
    </row>
    <row r="37" spans="2:15" x14ac:dyDescent="0.25">
      <c r="B37" s="8">
        <v>5</v>
      </c>
      <c r="C37" s="8">
        <v>9</v>
      </c>
      <c r="G37" s="8">
        <v>5</v>
      </c>
      <c r="H37" s="9">
        <f t="shared" si="0"/>
        <v>-0.61111111111111072</v>
      </c>
      <c r="I37" s="9">
        <f t="shared" si="2"/>
        <v>0.37345679012345628</v>
      </c>
    </row>
    <row r="38" spans="2:15" x14ac:dyDescent="0.25">
      <c r="B38" s="8">
        <v>5</v>
      </c>
      <c r="C38" s="8">
        <v>9</v>
      </c>
      <c r="G38" s="8">
        <v>5</v>
      </c>
      <c r="H38" s="9">
        <f t="shared" si="0"/>
        <v>-0.61111111111111072</v>
      </c>
      <c r="I38" s="9">
        <f t="shared" si="2"/>
        <v>0.37345679012345628</v>
      </c>
    </row>
    <row r="39" spans="2:15" x14ac:dyDescent="0.25">
      <c r="B39" s="8">
        <v>6</v>
      </c>
      <c r="C39" s="8">
        <v>10</v>
      </c>
      <c r="G39" s="8">
        <v>6</v>
      </c>
      <c r="H39" s="9">
        <f t="shared" si="0"/>
        <v>0.38888888888888928</v>
      </c>
      <c r="I39" s="9">
        <f t="shared" si="2"/>
        <v>0.15123456790123488</v>
      </c>
    </row>
    <row r="40" spans="2:15" x14ac:dyDescent="0.25">
      <c r="B40" s="8">
        <v>7</v>
      </c>
      <c r="C40" s="8">
        <v>10</v>
      </c>
      <c r="G40" s="8">
        <v>7</v>
      </c>
      <c r="H40" s="9">
        <f t="shared" si="0"/>
        <v>1.3888888888888893</v>
      </c>
      <c r="I40" s="9">
        <f t="shared" si="2"/>
        <v>1.9290123456790134</v>
      </c>
    </row>
    <row r="41" spans="2:15" x14ac:dyDescent="0.25">
      <c r="H41" s="11" t="s">
        <v>49</v>
      </c>
      <c r="I41" s="9">
        <f>SUM(I5:I40)</f>
        <v>154.5555555555556</v>
      </c>
    </row>
    <row r="42" spans="2:15" x14ac:dyDescent="0.25">
      <c r="H42" s="11" t="s">
        <v>39</v>
      </c>
      <c r="I42" s="9">
        <f>I41/36</f>
        <v>4.2932098765432114</v>
      </c>
    </row>
    <row r="45" spans="2:15" x14ac:dyDescent="0.25">
      <c r="I45" s="149" t="s">
        <v>61</v>
      </c>
      <c r="J45" s="149"/>
      <c r="K45" s="18" t="s">
        <v>62</v>
      </c>
    </row>
    <row r="46" spans="2:15" x14ac:dyDescent="0.25">
      <c r="B46" s="6" t="s">
        <v>26</v>
      </c>
      <c r="C46" s="6" t="s">
        <v>27</v>
      </c>
      <c r="E46" s="149" t="s">
        <v>51</v>
      </c>
      <c r="F46" s="149"/>
      <c r="H46" s="11" t="s">
        <v>57</v>
      </c>
      <c r="I46" s="11" t="s">
        <v>58</v>
      </c>
      <c r="J46" s="11" t="s">
        <v>59</v>
      </c>
      <c r="K46" s="18" t="s">
        <v>60</v>
      </c>
      <c r="L46" s="11" t="s">
        <v>63</v>
      </c>
      <c r="M46" s="11" t="s">
        <v>64</v>
      </c>
      <c r="N46" s="11" t="s">
        <v>65</v>
      </c>
      <c r="O46" s="11" t="s">
        <v>64</v>
      </c>
    </row>
    <row r="47" spans="2:15" x14ac:dyDescent="0.25">
      <c r="B47" s="12">
        <v>17</v>
      </c>
      <c r="C47" s="12">
        <v>2</v>
      </c>
      <c r="E47" s="12" t="s">
        <v>52</v>
      </c>
      <c r="F47" s="12">
        <f>COUNT(B47:B96)</f>
        <v>50</v>
      </c>
      <c r="H47" s="12">
        <v>1</v>
      </c>
      <c r="I47" s="12">
        <f>C47</f>
        <v>2</v>
      </c>
      <c r="J47" s="15">
        <f>I47+$F$52</f>
        <v>21.2</v>
      </c>
      <c r="K47" s="16">
        <f>(I47+J47)/2</f>
        <v>11.6</v>
      </c>
      <c r="L47" s="12">
        <f t="array" ref="L47:L51">FREQUENCY(B47:B96,J47:J51)</f>
        <v>18</v>
      </c>
      <c r="M47" s="12">
        <f>L47</f>
        <v>18</v>
      </c>
      <c r="N47" s="17">
        <f>L47/50</f>
        <v>0.36</v>
      </c>
      <c r="O47" s="17">
        <f>N47</f>
        <v>0.36</v>
      </c>
    </row>
    <row r="48" spans="2:15" x14ac:dyDescent="0.25">
      <c r="B48" s="12">
        <v>4</v>
      </c>
      <c r="C48" s="12">
        <v>4</v>
      </c>
      <c r="E48" s="12" t="s">
        <v>53</v>
      </c>
      <c r="F48" s="12">
        <f>MAX(B47:B96)</f>
        <v>98</v>
      </c>
      <c r="H48" s="12">
        <v>2</v>
      </c>
      <c r="I48" s="15">
        <f>J47+1</f>
        <v>22.2</v>
      </c>
      <c r="J48" s="15">
        <f>I48+$F$52</f>
        <v>41.4</v>
      </c>
      <c r="K48" s="16">
        <f>(I48+J48)/2</f>
        <v>31.799999999999997</v>
      </c>
      <c r="L48" s="12">
        <v>8</v>
      </c>
      <c r="M48" s="12">
        <f>M47+L48</f>
        <v>26</v>
      </c>
      <c r="N48" s="17">
        <f>L48/50</f>
        <v>0.16</v>
      </c>
      <c r="O48" s="17">
        <f>O47+N48</f>
        <v>0.52</v>
      </c>
    </row>
    <row r="49" spans="2:15" x14ac:dyDescent="0.25">
      <c r="B49" s="12">
        <v>44</v>
      </c>
      <c r="C49" s="12">
        <v>4</v>
      </c>
      <c r="E49" s="12" t="s">
        <v>54</v>
      </c>
      <c r="F49" s="12">
        <f>MIN(B47:B96)</f>
        <v>2</v>
      </c>
      <c r="H49" s="12">
        <v>3</v>
      </c>
      <c r="I49" s="15">
        <f>J48+1</f>
        <v>42.4</v>
      </c>
      <c r="J49" s="15">
        <f>I49+$F$52</f>
        <v>61.599999999999994</v>
      </c>
      <c r="K49" s="16">
        <f>(I49+J49)/2</f>
        <v>52</v>
      </c>
      <c r="L49" s="12">
        <v>6</v>
      </c>
      <c r="M49" s="12">
        <f t="shared" ref="M49:O51" si="3">M48+L49</f>
        <v>32</v>
      </c>
      <c r="N49" s="17">
        <f>L49/50</f>
        <v>0.12</v>
      </c>
      <c r="O49" s="17">
        <f t="shared" si="3"/>
        <v>0.64</v>
      </c>
    </row>
    <row r="50" spans="2:15" x14ac:dyDescent="0.25">
      <c r="B50" s="12">
        <v>77</v>
      </c>
      <c r="C50" s="12">
        <v>5</v>
      </c>
      <c r="E50" s="12" t="s">
        <v>25</v>
      </c>
      <c r="F50" s="12">
        <f>C96-C47</f>
        <v>96</v>
      </c>
      <c r="H50" s="12">
        <v>4</v>
      </c>
      <c r="I50" s="15">
        <f>J49+1</f>
        <v>62.599999999999994</v>
      </c>
      <c r="J50" s="15">
        <f>I50+$F$52</f>
        <v>81.8</v>
      </c>
      <c r="K50" s="16">
        <f>(I50+J50)/2</f>
        <v>72.199999999999989</v>
      </c>
      <c r="L50" s="12">
        <v>10</v>
      </c>
      <c r="M50" s="12">
        <f t="shared" si="3"/>
        <v>42</v>
      </c>
      <c r="N50" s="17">
        <f>L50/50</f>
        <v>0.2</v>
      </c>
      <c r="O50" s="17">
        <f t="shared" si="3"/>
        <v>0.84000000000000008</v>
      </c>
    </row>
    <row r="51" spans="2:15" x14ac:dyDescent="0.25">
      <c r="B51" s="12">
        <v>7</v>
      </c>
      <c r="C51" s="12">
        <v>7</v>
      </c>
      <c r="E51" s="12" t="s">
        <v>55</v>
      </c>
      <c r="F51" s="12">
        <f>5</f>
        <v>5</v>
      </c>
      <c r="H51" s="12">
        <v>5</v>
      </c>
      <c r="I51" s="15">
        <f>J50+1</f>
        <v>82.8</v>
      </c>
      <c r="J51" s="15">
        <f>I51+$F$52</f>
        <v>102</v>
      </c>
      <c r="K51" s="16">
        <f>(I51+J51)/2</f>
        <v>92.4</v>
      </c>
      <c r="L51" s="12">
        <v>8</v>
      </c>
      <c r="M51" s="12">
        <f t="shared" si="3"/>
        <v>50</v>
      </c>
      <c r="N51" s="17">
        <f>L51/50</f>
        <v>0.16</v>
      </c>
      <c r="O51" s="17">
        <f t="shared" si="3"/>
        <v>1</v>
      </c>
    </row>
    <row r="52" spans="2:15" x14ac:dyDescent="0.25">
      <c r="B52" s="12">
        <v>32</v>
      </c>
      <c r="C52" s="12">
        <v>7</v>
      </c>
      <c r="E52" s="12" t="s">
        <v>56</v>
      </c>
      <c r="F52" s="15">
        <f>F50/F51</f>
        <v>19.2</v>
      </c>
      <c r="L52">
        <v>0</v>
      </c>
    </row>
    <row r="53" spans="2:15" x14ac:dyDescent="0.25">
      <c r="B53" s="12">
        <v>9</v>
      </c>
      <c r="C53" s="12">
        <v>9</v>
      </c>
      <c r="H53" s="149" t="s">
        <v>66</v>
      </c>
      <c r="I53" s="149"/>
    </row>
    <row r="54" spans="2:15" x14ac:dyDescent="0.25">
      <c r="B54" s="12">
        <v>81</v>
      </c>
      <c r="C54" s="12">
        <v>9</v>
      </c>
      <c r="H54" s="18" t="s">
        <v>57</v>
      </c>
      <c r="I54" s="18" t="s">
        <v>67</v>
      </c>
      <c r="J54" s="18" t="s">
        <v>60</v>
      </c>
    </row>
    <row r="55" spans="2:15" x14ac:dyDescent="0.25">
      <c r="B55" s="12">
        <v>13</v>
      </c>
      <c r="C55" s="12">
        <v>10</v>
      </c>
      <c r="H55" s="16">
        <v>1</v>
      </c>
      <c r="I55" s="16" t="s">
        <v>68</v>
      </c>
      <c r="J55" s="16">
        <v>11.6</v>
      </c>
    </row>
    <row r="56" spans="2:15" x14ac:dyDescent="0.25">
      <c r="B56" s="12">
        <v>22</v>
      </c>
      <c r="C56" s="12">
        <v>13</v>
      </c>
      <c r="H56" s="16">
        <v>2</v>
      </c>
      <c r="I56" s="16" t="s">
        <v>69</v>
      </c>
      <c r="J56" s="16">
        <v>31.799999999999997</v>
      </c>
    </row>
    <row r="57" spans="2:15" x14ac:dyDescent="0.25">
      <c r="B57" s="12">
        <v>78</v>
      </c>
      <c r="C57" s="12">
        <v>13</v>
      </c>
      <c r="H57" s="16">
        <v>3</v>
      </c>
      <c r="I57" s="16" t="s">
        <v>70</v>
      </c>
      <c r="J57" s="16">
        <v>52</v>
      </c>
    </row>
    <row r="58" spans="2:15" x14ac:dyDescent="0.25">
      <c r="B58" s="12">
        <v>34</v>
      </c>
      <c r="C58" s="12">
        <v>15</v>
      </c>
      <c r="H58" s="16">
        <v>4</v>
      </c>
      <c r="I58" s="16" t="s">
        <v>71</v>
      </c>
      <c r="J58" s="16">
        <v>72.199999999999989</v>
      </c>
    </row>
    <row r="59" spans="2:15" x14ac:dyDescent="0.25">
      <c r="B59" s="12">
        <v>62</v>
      </c>
      <c r="C59" s="12">
        <v>16</v>
      </c>
      <c r="H59" s="16">
        <v>5</v>
      </c>
      <c r="I59" s="16" t="s">
        <v>72</v>
      </c>
      <c r="J59" s="16">
        <v>92.4</v>
      </c>
    </row>
    <row r="60" spans="2:15" x14ac:dyDescent="0.25">
      <c r="B60" s="12">
        <v>41</v>
      </c>
      <c r="C60" s="12">
        <v>16</v>
      </c>
    </row>
    <row r="61" spans="2:15" x14ac:dyDescent="0.25">
      <c r="B61" s="12">
        <v>88</v>
      </c>
      <c r="C61" s="12">
        <v>17</v>
      </c>
    </row>
    <row r="62" spans="2:15" x14ac:dyDescent="0.25">
      <c r="B62" s="12">
        <v>65</v>
      </c>
      <c r="C62" s="12">
        <v>17</v>
      </c>
    </row>
    <row r="63" spans="2:15" x14ac:dyDescent="0.25">
      <c r="B63" s="12">
        <v>79</v>
      </c>
      <c r="C63" s="12">
        <v>18</v>
      </c>
    </row>
    <row r="64" spans="2:15" x14ac:dyDescent="0.25">
      <c r="B64" s="12">
        <v>37</v>
      </c>
      <c r="C64" s="12">
        <v>21</v>
      </c>
    </row>
    <row r="65" spans="2:3" x14ac:dyDescent="0.25">
      <c r="B65" s="12">
        <v>37</v>
      </c>
      <c r="C65" s="12">
        <v>22</v>
      </c>
    </row>
    <row r="66" spans="2:3" x14ac:dyDescent="0.25">
      <c r="B66" s="12">
        <v>16</v>
      </c>
      <c r="C66" s="12">
        <v>22</v>
      </c>
    </row>
    <row r="67" spans="2:3" x14ac:dyDescent="0.25">
      <c r="B67" s="12">
        <v>15</v>
      </c>
      <c r="C67" s="12">
        <v>32</v>
      </c>
    </row>
    <row r="68" spans="2:3" x14ac:dyDescent="0.25">
      <c r="B68" s="12">
        <v>22</v>
      </c>
      <c r="C68" s="12">
        <v>34</v>
      </c>
    </row>
    <row r="69" spans="2:3" x14ac:dyDescent="0.25">
      <c r="B69" s="12">
        <v>64</v>
      </c>
      <c r="C69" s="12">
        <v>37</v>
      </c>
    </row>
    <row r="70" spans="2:3" x14ac:dyDescent="0.25">
      <c r="B70" s="12">
        <v>13</v>
      </c>
      <c r="C70" s="12">
        <v>37</v>
      </c>
    </row>
    <row r="71" spans="2:3" x14ac:dyDescent="0.25">
      <c r="B71" s="12">
        <v>67</v>
      </c>
      <c r="C71" s="12">
        <v>41</v>
      </c>
    </row>
    <row r="72" spans="2:3" x14ac:dyDescent="0.25">
      <c r="B72" s="12">
        <v>7</v>
      </c>
      <c r="C72" s="12">
        <v>41</v>
      </c>
    </row>
    <row r="73" spans="2:3" x14ac:dyDescent="0.25">
      <c r="B73" s="12">
        <v>82</v>
      </c>
      <c r="C73" s="12">
        <v>42</v>
      </c>
    </row>
    <row r="74" spans="2:3" x14ac:dyDescent="0.25">
      <c r="B74" s="12">
        <v>45</v>
      </c>
      <c r="C74" s="12">
        <v>44</v>
      </c>
    </row>
    <row r="75" spans="2:3" x14ac:dyDescent="0.25">
      <c r="B75" s="12">
        <v>82</v>
      </c>
      <c r="C75" s="12">
        <v>44</v>
      </c>
    </row>
    <row r="76" spans="2:3" x14ac:dyDescent="0.25">
      <c r="B76" s="12">
        <v>92</v>
      </c>
      <c r="C76" s="12">
        <v>45</v>
      </c>
    </row>
    <row r="77" spans="2:3" x14ac:dyDescent="0.25">
      <c r="B77" s="12">
        <v>21</v>
      </c>
      <c r="C77" s="12">
        <v>54</v>
      </c>
    </row>
    <row r="78" spans="2:3" x14ac:dyDescent="0.25">
      <c r="B78" s="12">
        <v>42</v>
      </c>
      <c r="C78" s="12">
        <v>61</v>
      </c>
    </row>
    <row r="79" spans="2:3" x14ac:dyDescent="0.25">
      <c r="B79" s="12">
        <v>77</v>
      </c>
      <c r="C79" s="12">
        <v>62</v>
      </c>
    </row>
    <row r="80" spans="2:3" x14ac:dyDescent="0.25">
      <c r="B80" s="12">
        <v>16</v>
      </c>
      <c r="C80" s="12">
        <v>64</v>
      </c>
    </row>
    <row r="81" spans="2:3" x14ac:dyDescent="0.25">
      <c r="B81" s="12">
        <v>41</v>
      </c>
      <c r="C81" s="12">
        <v>65</v>
      </c>
    </row>
    <row r="82" spans="2:3" x14ac:dyDescent="0.25">
      <c r="B82" s="12">
        <v>18</v>
      </c>
      <c r="C82" s="12">
        <v>67</v>
      </c>
    </row>
    <row r="83" spans="2:3" x14ac:dyDescent="0.25">
      <c r="B83" s="12">
        <v>98</v>
      </c>
      <c r="C83" s="12">
        <v>67</v>
      </c>
    </row>
    <row r="84" spans="2:3" x14ac:dyDescent="0.25">
      <c r="B84" s="12">
        <v>83</v>
      </c>
      <c r="C84" s="12">
        <v>77</v>
      </c>
    </row>
    <row r="85" spans="2:3" x14ac:dyDescent="0.25">
      <c r="B85" s="12">
        <v>5</v>
      </c>
      <c r="C85" s="12">
        <v>77</v>
      </c>
    </row>
    <row r="86" spans="2:3" x14ac:dyDescent="0.25">
      <c r="B86" s="12">
        <v>67</v>
      </c>
      <c r="C86" s="12">
        <v>78</v>
      </c>
    </row>
    <row r="87" spans="2:3" x14ac:dyDescent="0.25">
      <c r="B87" s="12">
        <v>10</v>
      </c>
      <c r="C87" s="12">
        <v>79</v>
      </c>
    </row>
    <row r="88" spans="2:3" x14ac:dyDescent="0.25">
      <c r="B88" s="12">
        <v>9</v>
      </c>
      <c r="C88" s="12">
        <v>81</v>
      </c>
    </row>
    <row r="89" spans="2:3" x14ac:dyDescent="0.25">
      <c r="B89" s="12">
        <v>2</v>
      </c>
      <c r="C89" s="12">
        <v>82</v>
      </c>
    </row>
    <row r="90" spans="2:3" x14ac:dyDescent="0.25">
      <c r="B90" s="12">
        <v>17</v>
      </c>
      <c r="C90" s="12">
        <v>82</v>
      </c>
    </row>
    <row r="91" spans="2:3" x14ac:dyDescent="0.25">
      <c r="B91" s="12">
        <v>61</v>
      </c>
      <c r="C91" s="12">
        <v>83</v>
      </c>
    </row>
    <row r="92" spans="2:3" x14ac:dyDescent="0.25">
      <c r="B92" s="12">
        <v>87</v>
      </c>
      <c r="C92" s="12">
        <v>85</v>
      </c>
    </row>
    <row r="93" spans="2:3" x14ac:dyDescent="0.25">
      <c r="B93" s="12">
        <v>4</v>
      </c>
      <c r="C93" s="12">
        <v>87</v>
      </c>
    </row>
    <row r="94" spans="2:3" x14ac:dyDescent="0.25">
      <c r="B94" s="12">
        <v>44</v>
      </c>
      <c r="C94" s="12">
        <v>88</v>
      </c>
    </row>
    <row r="95" spans="2:3" x14ac:dyDescent="0.25">
      <c r="B95" s="12">
        <v>54</v>
      </c>
      <c r="C95" s="12">
        <v>92</v>
      </c>
    </row>
    <row r="96" spans="2:3" x14ac:dyDescent="0.25">
      <c r="B96" s="12">
        <v>85</v>
      </c>
      <c r="C96" s="12">
        <v>98</v>
      </c>
    </row>
  </sheetData>
  <sortState ref="C47:C96">
    <sortCondition ref="C47"/>
  </sortState>
  <mergeCells count="6">
    <mergeCell ref="H53:I53"/>
    <mergeCell ref="K5:L5"/>
    <mergeCell ref="K10:L10"/>
    <mergeCell ref="B2:E2"/>
    <mergeCell ref="E46:F46"/>
    <mergeCell ref="I45:J4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F1041-A0A1-49A8-AFC1-4716DC04FA06}">
  <dimension ref="B2:S272"/>
  <sheetViews>
    <sheetView zoomScale="52" zoomScaleNormal="100" workbookViewId="0">
      <selection activeCell="B2" sqref="B2:G3"/>
    </sheetView>
  </sheetViews>
  <sheetFormatPr baseColWidth="10" defaultRowHeight="15" x14ac:dyDescent="0.25"/>
  <cols>
    <col min="2" max="2" width="13.140625" bestFit="1" customWidth="1"/>
    <col min="5" max="5" width="20.42578125" bestFit="1" customWidth="1"/>
    <col min="6" max="6" width="20.42578125" customWidth="1"/>
    <col min="9" max="9" width="17.85546875" bestFit="1" customWidth="1"/>
    <col min="10" max="10" width="15" bestFit="1" customWidth="1"/>
    <col min="11" max="11" width="14.42578125" bestFit="1" customWidth="1"/>
    <col min="12" max="12" width="18.7109375" bestFit="1" customWidth="1"/>
    <col min="13" max="13" width="19" bestFit="1" customWidth="1"/>
    <col min="16" max="16" width="26.7109375" bestFit="1" customWidth="1"/>
    <col min="17" max="17" width="13.140625" bestFit="1" customWidth="1"/>
  </cols>
  <sheetData>
    <row r="2" spans="2:17" x14ac:dyDescent="0.25">
      <c r="B2" s="154" t="s">
        <v>390</v>
      </c>
      <c r="C2" s="154"/>
      <c r="D2" s="154"/>
      <c r="E2" s="154"/>
      <c r="F2" s="154"/>
      <c r="G2" s="154"/>
    </row>
    <row r="3" spans="2:17" x14ac:dyDescent="0.25">
      <c r="B3" s="154"/>
      <c r="C3" s="154"/>
      <c r="D3" s="154"/>
      <c r="E3" s="154"/>
      <c r="F3" s="154"/>
      <c r="G3" s="154"/>
    </row>
    <row r="5" spans="2:17" ht="28.5" x14ac:dyDescent="0.45">
      <c r="B5" s="156" t="s">
        <v>81</v>
      </c>
      <c r="C5" s="156"/>
      <c r="D5" s="156"/>
      <c r="E5" s="156"/>
      <c r="F5" s="32"/>
    </row>
    <row r="7" spans="2:17" ht="15.75" thickBot="1" x14ac:dyDescent="0.3">
      <c r="B7" s="6" t="s">
        <v>80</v>
      </c>
      <c r="C7" s="6" t="s">
        <v>27</v>
      </c>
      <c r="D7" s="6" t="s">
        <v>28</v>
      </c>
      <c r="E7" s="6" t="s">
        <v>63</v>
      </c>
      <c r="F7" s="6" t="s">
        <v>65</v>
      </c>
      <c r="H7" s="7" t="s">
        <v>28</v>
      </c>
      <c r="I7" s="7" t="s">
        <v>30</v>
      </c>
      <c r="J7" s="7" t="s">
        <v>31</v>
      </c>
    </row>
    <row r="8" spans="2:17" x14ac:dyDescent="0.25">
      <c r="B8" s="8">
        <v>57</v>
      </c>
      <c r="C8" s="8">
        <v>48</v>
      </c>
      <c r="D8" s="8">
        <v>48</v>
      </c>
      <c r="E8" s="34">
        <f t="shared" ref="E8:E31" si="0">COUNTIF($B$8:$B$37,D8)</f>
        <v>1</v>
      </c>
      <c r="F8" s="8">
        <f>E8/$E$32</f>
        <v>3.3333333333333333E-2</v>
      </c>
      <c r="H8" s="8">
        <f>B8</f>
        <v>57</v>
      </c>
      <c r="I8" s="9">
        <f t="shared" ref="I8:I37" si="1">H8-$M$9</f>
        <v>-7.7333333333333343</v>
      </c>
      <c r="J8" s="9">
        <f>I8^2</f>
        <v>59.804444444444457</v>
      </c>
      <c r="L8" s="150" t="s">
        <v>32</v>
      </c>
      <c r="M8" s="150"/>
      <c r="P8" s="24" t="s">
        <v>80</v>
      </c>
      <c r="Q8" s="24"/>
    </row>
    <row r="9" spans="2:17" x14ac:dyDescent="0.25">
      <c r="B9" s="8">
        <v>66</v>
      </c>
      <c r="C9" s="8">
        <v>52</v>
      </c>
      <c r="D9" s="8">
        <v>52</v>
      </c>
      <c r="E9" s="34">
        <f t="shared" si="0"/>
        <v>1</v>
      </c>
      <c r="F9" s="8">
        <f t="shared" ref="F9:F31" si="2">E9/$E$32</f>
        <v>3.3333333333333333E-2</v>
      </c>
      <c r="H9" s="8">
        <f t="shared" ref="H9:H37" si="3">B9</f>
        <v>66</v>
      </c>
      <c r="I9" s="9">
        <f t="shared" si="1"/>
        <v>1.2666666666666657</v>
      </c>
      <c r="J9" s="9">
        <f t="shared" ref="J9:J37" si="4">I9^2</f>
        <v>1.6044444444444421</v>
      </c>
      <c r="L9" s="11" t="s">
        <v>33</v>
      </c>
      <c r="M9" s="9">
        <f>AVERAGE(B8:B37)</f>
        <v>64.733333333333334</v>
      </c>
      <c r="P9" s="22"/>
      <c r="Q9" s="22"/>
    </row>
    <row r="10" spans="2:17" x14ac:dyDescent="0.25">
      <c r="B10" s="8">
        <v>67</v>
      </c>
      <c r="C10" s="8">
        <v>53</v>
      </c>
      <c r="D10" s="8">
        <v>53</v>
      </c>
      <c r="E10" s="34">
        <f t="shared" si="0"/>
        <v>2</v>
      </c>
      <c r="F10" s="8">
        <f t="shared" si="2"/>
        <v>6.6666666666666666E-2</v>
      </c>
      <c r="H10" s="8">
        <f t="shared" si="3"/>
        <v>67</v>
      </c>
      <c r="I10" s="9">
        <f t="shared" si="1"/>
        <v>2.2666666666666657</v>
      </c>
      <c r="J10" s="9">
        <f t="shared" si="4"/>
        <v>5.1377777777777736</v>
      </c>
      <c r="L10" s="11" t="s">
        <v>34</v>
      </c>
      <c r="M10" s="8">
        <f>MEDIAN(C8:C37)</f>
        <v>64.5</v>
      </c>
      <c r="P10" s="22" t="s">
        <v>33</v>
      </c>
      <c r="Q10" s="22">
        <v>64.733333333333334</v>
      </c>
    </row>
    <row r="11" spans="2:17" x14ac:dyDescent="0.25">
      <c r="B11" s="8">
        <v>63</v>
      </c>
      <c r="C11" s="8">
        <v>53</v>
      </c>
      <c r="D11" s="8">
        <v>54</v>
      </c>
      <c r="E11" s="34">
        <f t="shared" si="0"/>
        <v>1</v>
      </c>
      <c r="F11" s="8">
        <f t="shared" si="2"/>
        <v>3.3333333333333333E-2</v>
      </c>
      <c r="H11" s="8">
        <f t="shared" si="3"/>
        <v>63</v>
      </c>
      <c r="I11" s="9">
        <f t="shared" si="1"/>
        <v>-1.7333333333333343</v>
      </c>
      <c r="J11" s="9">
        <f t="shared" si="4"/>
        <v>3.0044444444444478</v>
      </c>
      <c r="L11" s="11" t="s">
        <v>35</v>
      </c>
      <c r="M11" s="8">
        <f>MODE(B8:B37)</f>
        <v>66</v>
      </c>
      <c r="P11" s="22" t="s">
        <v>36</v>
      </c>
      <c r="Q11" s="22">
        <v>1.6546231527987816</v>
      </c>
    </row>
    <row r="12" spans="2:17" x14ac:dyDescent="0.25">
      <c r="B12" s="8">
        <v>73</v>
      </c>
      <c r="C12" s="8">
        <v>54</v>
      </c>
      <c r="D12" s="8">
        <v>55</v>
      </c>
      <c r="E12" s="34">
        <f t="shared" si="0"/>
        <v>1</v>
      </c>
      <c r="F12" s="8">
        <f t="shared" si="2"/>
        <v>3.3333333333333333E-2</v>
      </c>
      <c r="H12" s="8">
        <f t="shared" si="3"/>
        <v>73</v>
      </c>
      <c r="I12" s="9">
        <f t="shared" si="1"/>
        <v>8.2666666666666657</v>
      </c>
      <c r="J12" s="9">
        <f t="shared" si="4"/>
        <v>68.33777777777776</v>
      </c>
      <c r="P12" s="22" t="s">
        <v>34</v>
      </c>
      <c r="Q12" s="22">
        <v>64.5</v>
      </c>
    </row>
    <row r="13" spans="2:17" x14ac:dyDescent="0.25">
      <c r="B13" s="8">
        <v>65</v>
      </c>
      <c r="C13" s="8">
        <v>55</v>
      </c>
      <c r="D13" s="8">
        <v>57</v>
      </c>
      <c r="E13" s="34">
        <f t="shared" si="0"/>
        <v>1</v>
      </c>
      <c r="F13" s="8">
        <f t="shared" si="2"/>
        <v>3.3333333333333333E-2</v>
      </c>
      <c r="H13" s="8">
        <f t="shared" si="3"/>
        <v>65</v>
      </c>
      <c r="I13" s="9">
        <f t="shared" si="1"/>
        <v>0.26666666666666572</v>
      </c>
      <c r="J13" s="9">
        <f t="shared" si="4"/>
        <v>7.1111111111110611E-2</v>
      </c>
      <c r="L13" s="150" t="s">
        <v>37</v>
      </c>
      <c r="M13" s="150"/>
      <c r="P13" s="22" t="s">
        <v>35</v>
      </c>
      <c r="Q13" s="22">
        <v>66</v>
      </c>
    </row>
    <row r="14" spans="2:17" x14ac:dyDescent="0.25">
      <c r="B14" s="8">
        <v>70</v>
      </c>
      <c r="C14" s="8">
        <v>57</v>
      </c>
      <c r="D14" s="8">
        <v>58</v>
      </c>
      <c r="E14" s="34">
        <f t="shared" si="0"/>
        <v>1</v>
      </c>
      <c r="F14" s="8">
        <f t="shared" si="2"/>
        <v>3.3333333333333333E-2</v>
      </c>
      <c r="H14" s="8">
        <f t="shared" si="3"/>
        <v>70</v>
      </c>
      <c r="I14" s="9">
        <f t="shared" si="1"/>
        <v>5.2666666666666657</v>
      </c>
      <c r="J14" s="9">
        <f t="shared" si="4"/>
        <v>27.737777777777769</v>
      </c>
      <c r="L14" s="11" t="s">
        <v>25</v>
      </c>
      <c r="M14" s="12">
        <f>D31-D8</f>
        <v>36</v>
      </c>
      <c r="P14" s="22" t="s">
        <v>38</v>
      </c>
      <c r="Q14" s="22">
        <v>9.0627442495820993</v>
      </c>
    </row>
    <row r="15" spans="2:17" x14ac:dyDescent="0.25">
      <c r="B15" s="8">
        <v>71</v>
      </c>
      <c r="C15" s="8">
        <v>58</v>
      </c>
      <c r="D15" s="8">
        <v>60</v>
      </c>
      <c r="E15" s="34">
        <f t="shared" si="0"/>
        <v>2</v>
      </c>
      <c r="F15" s="8">
        <f t="shared" si="2"/>
        <v>6.6666666666666666E-2</v>
      </c>
      <c r="H15" s="8">
        <f t="shared" si="3"/>
        <v>71</v>
      </c>
      <c r="I15" s="9">
        <f t="shared" si="1"/>
        <v>6.2666666666666657</v>
      </c>
      <c r="J15" s="9">
        <f t="shared" si="4"/>
        <v>39.271111111111097</v>
      </c>
      <c r="L15" s="11" t="s">
        <v>87</v>
      </c>
      <c r="M15" s="13">
        <f>_xlfn.VAR.P(B8:B37)</f>
        <v>79.395555555555561</v>
      </c>
      <c r="P15" s="22" t="s">
        <v>40</v>
      </c>
      <c r="Q15" s="22">
        <v>82.133333333333397</v>
      </c>
    </row>
    <row r="16" spans="2:17" x14ac:dyDescent="0.25">
      <c r="B16" s="8">
        <v>62</v>
      </c>
      <c r="C16" s="8">
        <v>60</v>
      </c>
      <c r="D16" s="8">
        <v>61</v>
      </c>
      <c r="E16" s="34">
        <f t="shared" si="0"/>
        <v>1</v>
      </c>
      <c r="F16" s="8">
        <f t="shared" si="2"/>
        <v>3.3333333333333333E-2</v>
      </c>
      <c r="H16" s="8">
        <f t="shared" si="3"/>
        <v>62</v>
      </c>
      <c r="I16" s="9">
        <f t="shared" si="1"/>
        <v>-2.7333333333333343</v>
      </c>
      <c r="J16" s="9">
        <f t="shared" si="4"/>
        <v>7.4711111111111164</v>
      </c>
      <c r="L16" s="11" t="s">
        <v>41</v>
      </c>
      <c r="M16" s="13">
        <f>_xlfn.STDEV.P(B8:B37)</f>
        <v>8.9104183715219314</v>
      </c>
      <c r="P16" s="22" t="s">
        <v>42</v>
      </c>
      <c r="Q16" s="22">
        <v>-0.5004203061349104</v>
      </c>
    </row>
    <row r="17" spans="2:17" x14ac:dyDescent="0.25">
      <c r="B17" s="8">
        <v>53</v>
      </c>
      <c r="C17" s="8">
        <v>60</v>
      </c>
      <c r="D17" s="8">
        <v>62</v>
      </c>
      <c r="E17" s="34">
        <f t="shared" si="0"/>
        <v>2</v>
      </c>
      <c r="F17" s="8">
        <f t="shared" si="2"/>
        <v>6.6666666666666666E-2</v>
      </c>
      <c r="H17" s="8">
        <f t="shared" si="3"/>
        <v>53</v>
      </c>
      <c r="I17" s="9">
        <f t="shared" si="1"/>
        <v>-11.733333333333334</v>
      </c>
      <c r="J17" s="9">
        <f t="shared" si="4"/>
        <v>137.67111111111114</v>
      </c>
      <c r="P17" s="22" t="s">
        <v>43</v>
      </c>
      <c r="Q17" s="22">
        <v>0.23537118862049608</v>
      </c>
    </row>
    <row r="18" spans="2:17" x14ac:dyDescent="0.25">
      <c r="B18" s="8">
        <v>78</v>
      </c>
      <c r="C18" s="8">
        <v>61</v>
      </c>
      <c r="D18" s="8">
        <v>63</v>
      </c>
      <c r="E18" s="34">
        <f t="shared" si="0"/>
        <v>1</v>
      </c>
      <c r="F18" s="8">
        <f t="shared" si="2"/>
        <v>3.3333333333333333E-2</v>
      </c>
      <c r="H18" s="8">
        <f t="shared" si="3"/>
        <v>78</v>
      </c>
      <c r="I18" s="9">
        <f t="shared" si="1"/>
        <v>13.266666666666666</v>
      </c>
      <c r="J18" s="9">
        <f t="shared" si="4"/>
        <v>176.00444444444443</v>
      </c>
      <c r="P18" s="22" t="s">
        <v>25</v>
      </c>
      <c r="Q18" s="22">
        <v>36</v>
      </c>
    </row>
    <row r="19" spans="2:17" x14ac:dyDescent="0.25">
      <c r="B19" s="8">
        <v>55</v>
      </c>
      <c r="C19" s="8">
        <v>62</v>
      </c>
      <c r="D19" s="8">
        <v>64</v>
      </c>
      <c r="E19" s="34">
        <f t="shared" si="0"/>
        <v>1</v>
      </c>
      <c r="F19" s="8">
        <f t="shared" si="2"/>
        <v>3.3333333333333333E-2</v>
      </c>
      <c r="H19" s="8">
        <f t="shared" si="3"/>
        <v>55</v>
      </c>
      <c r="I19" s="9">
        <f t="shared" si="1"/>
        <v>-9.7333333333333343</v>
      </c>
      <c r="J19" s="9">
        <f t="shared" si="4"/>
        <v>94.737777777777794</v>
      </c>
      <c r="P19" s="22" t="s">
        <v>44</v>
      </c>
      <c r="Q19" s="22">
        <v>48</v>
      </c>
    </row>
    <row r="20" spans="2:17" x14ac:dyDescent="0.25">
      <c r="B20" s="8">
        <v>61</v>
      </c>
      <c r="C20" s="8">
        <v>62</v>
      </c>
      <c r="D20" s="8">
        <v>65</v>
      </c>
      <c r="E20" s="34">
        <f t="shared" si="0"/>
        <v>1</v>
      </c>
      <c r="F20" s="8">
        <f t="shared" si="2"/>
        <v>3.3333333333333333E-2</v>
      </c>
      <c r="H20" s="8">
        <f t="shared" si="3"/>
        <v>61</v>
      </c>
      <c r="I20" s="9">
        <f t="shared" si="1"/>
        <v>-3.7333333333333343</v>
      </c>
      <c r="J20" s="9">
        <f t="shared" si="4"/>
        <v>13.937777777777784</v>
      </c>
      <c r="P20" s="22" t="s">
        <v>45</v>
      </c>
      <c r="Q20" s="22">
        <v>84</v>
      </c>
    </row>
    <row r="21" spans="2:17" x14ac:dyDescent="0.25">
      <c r="B21" s="8">
        <v>84</v>
      </c>
      <c r="C21" s="8">
        <v>63</v>
      </c>
      <c r="D21" s="8">
        <v>66</v>
      </c>
      <c r="E21" s="34">
        <f t="shared" si="0"/>
        <v>2</v>
      </c>
      <c r="F21" s="8">
        <f t="shared" si="2"/>
        <v>6.6666666666666666E-2</v>
      </c>
      <c r="H21" s="8">
        <f t="shared" si="3"/>
        <v>84</v>
      </c>
      <c r="I21" s="9">
        <f t="shared" si="1"/>
        <v>19.266666666666666</v>
      </c>
      <c r="J21" s="9">
        <f t="shared" si="4"/>
        <v>371.20444444444439</v>
      </c>
      <c r="P21" s="22" t="s">
        <v>46</v>
      </c>
      <c r="Q21" s="22">
        <v>1942</v>
      </c>
    </row>
    <row r="22" spans="2:17" ht="15.75" thickBot="1" x14ac:dyDescent="0.3">
      <c r="B22" s="8">
        <v>52</v>
      </c>
      <c r="C22" s="8">
        <v>64</v>
      </c>
      <c r="D22" s="8">
        <v>67</v>
      </c>
      <c r="E22" s="34">
        <f t="shared" si="0"/>
        <v>2</v>
      </c>
      <c r="F22" s="8">
        <f t="shared" si="2"/>
        <v>6.6666666666666666E-2</v>
      </c>
      <c r="H22" s="8">
        <f t="shared" si="3"/>
        <v>52</v>
      </c>
      <c r="I22" s="9">
        <f t="shared" si="1"/>
        <v>-12.733333333333334</v>
      </c>
      <c r="J22" s="9">
        <f t="shared" si="4"/>
        <v>162.13777777777781</v>
      </c>
      <c r="P22" s="23" t="s">
        <v>47</v>
      </c>
      <c r="Q22" s="23">
        <v>30</v>
      </c>
    </row>
    <row r="23" spans="2:17" ht="15.75" thickBot="1" x14ac:dyDescent="0.3">
      <c r="B23" s="8">
        <v>60</v>
      </c>
      <c r="C23" s="8">
        <v>65</v>
      </c>
      <c r="D23" s="8">
        <v>69</v>
      </c>
      <c r="E23" s="34">
        <f t="shared" si="0"/>
        <v>1</v>
      </c>
      <c r="F23" s="8">
        <f t="shared" si="2"/>
        <v>3.3333333333333333E-2</v>
      </c>
      <c r="H23" s="8">
        <f t="shared" si="3"/>
        <v>60</v>
      </c>
      <c r="I23" s="9">
        <f t="shared" si="1"/>
        <v>-4.7333333333333343</v>
      </c>
      <c r="J23" s="9">
        <f t="shared" si="4"/>
        <v>22.404444444444454</v>
      </c>
      <c r="P23" s="14" t="s">
        <v>48</v>
      </c>
      <c r="Q23" s="14">
        <v>0</v>
      </c>
    </row>
    <row r="24" spans="2:17" x14ac:dyDescent="0.25">
      <c r="B24" s="8">
        <v>53</v>
      </c>
      <c r="C24" s="8">
        <v>66</v>
      </c>
      <c r="D24" s="8">
        <v>70</v>
      </c>
      <c r="E24" s="34">
        <f t="shared" si="0"/>
        <v>1</v>
      </c>
      <c r="F24" s="8">
        <f t="shared" si="2"/>
        <v>3.3333333333333333E-2</v>
      </c>
      <c r="H24" s="8">
        <f t="shared" si="3"/>
        <v>53</v>
      </c>
      <c r="I24" s="9">
        <f t="shared" si="1"/>
        <v>-11.733333333333334</v>
      </c>
      <c r="J24" s="9">
        <f t="shared" si="4"/>
        <v>137.67111111111114</v>
      </c>
    </row>
    <row r="25" spans="2:17" x14ac:dyDescent="0.25">
      <c r="B25" s="8">
        <v>69</v>
      </c>
      <c r="C25" s="8">
        <v>66</v>
      </c>
      <c r="D25" s="8">
        <v>71</v>
      </c>
      <c r="E25" s="34">
        <f t="shared" si="0"/>
        <v>1</v>
      </c>
      <c r="F25" s="8">
        <f t="shared" si="2"/>
        <v>3.3333333333333333E-2</v>
      </c>
      <c r="H25" s="8">
        <f t="shared" si="3"/>
        <v>69</v>
      </c>
      <c r="I25" s="9">
        <f t="shared" si="1"/>
        <v>4.2666666666666657</v>
      </c>
      <c r="J25" s="9">
        <f t="shared" si="4"/>
        <v>18.204444444444437</v>
      </c>
    </row>
    <row r="26" spans="2:17" x14ac:dyDescent="0.25">
      <c r="B26" s="8">
        <v>67</v>
      </c>
      <c r="C26" s="8">
        <v>67</v>
      </c>
      <c r="D26" s="8">
        <v>72</v>
      </c>
      <c r="E26" s="34">
        <f t="shared" si="0"/>
        <v>1</v>
      </c>
      <c r="F26" s="8">
        <f t="shared" si="2"/>
        <v>3.3333333333333333E-2</v>
      </c>
      <c r="H26" s="8">
        <f t="shared" si="3"/>
        <v>67</v>
      </c>
      <c r="I26" s="9">
        <f t="shared" si="1"/>
        <v>2.2666666666666657</v>
      </c>
      <c r="J26" s="9">
        <f t="shared" si="4"/>
        <v>5.1377777777777736</v>
      </c>
    </row>
    <row r="27" spans="2:17" x14ac:dyDescent="0.25">
      <c r="B27" s="8">
        <v>48</v>
      </c>
      <c r="C27" s="8">
        <v>67</v>
      </c>
      <c r="D27" s="8">
        <v>73</v>
      </c>
      <c r="E27" s="34">
        <f t="shared" si="0"/>
        <v>2</v>
      </c>
      <c r="F27" s="8">
        <f t="shared" si="2"/>
        <v>6.6666666666666666E-2</v>
      </c>
      <c r="H27" s="8">
        <f t="shared" si="3"/>
        <v>48</v>
      </c>
      <c r="I27" s="9">
        <f t="shared" si="1"/>
        <v>-16.733333333333334</v>
      </c>
      <c r="J27" s="9">
        <f t="shared" si="4"/>
        <v>280.00444444444446</v>
      </c>
    </row>
    <row r="28" spans="2:17" x14ac:dyDescent="0.25">
      <c r="B28" s="8">
        <v>73</v>
      </c>
      <c r="C28" s="8">
        <v>69</v>
      </c>
      <c r="D28" s="8">
        <v>78</v>
      </c>
      <c r="E28" s="34">
        <f t="shared" si="0"/>
        <v>1</v>
      </c>
      <c r="F28" s="8">
        <f t="shared" si="2"/>
        <v>3.3333333333333333E-2</v>
      </c>
      <c r="H28" s="8">
        <f t="shared" si="3"/>
        <v>73</v>
      </c>
      <c r="I28" s="9">
        <f t="shared" si="1"/>
        <v>8.2666666666666657</v>
      </c>
      <c r="J28" s="9">
        <f t="shared" si="4"/>
        <v>68.33777777777776</v>
      </c>
    </row>
    <row r="29" spans="2:17" x14ac:dyDescent="0.25">
      <c r="B29" s="8">
        <v>79</v>
      </c>
      <c r="C29" s="8">
        <v>70</v>
      </c>
      <c r="D29" s="8">
        <v>79</v>
      </c>
      <c r="E29" s="34">
        <f t="shared" si="0"/>
        <v>1</v>
      </c>
      <c r="F29" s="8">
        <f t="shared" si="2"/>
        <v>3.3333333333333333E-2</v>
      </c>
      <c r="H29" s="8">
        <f t="shared" si="3"/>
        <v>79</v>
      </c>
      <c r="I29" s="9">
        <f t="shared" si="1"/>
        <v>14.266666666666666</v>
      </c>
      <c r="J29" s="9">
        <f t="shared" si="4"/>
        <v>203.53777777777776</v>
      </c>
    </row>
    <row r="30" spans="2:17" x14ac:dyDescent="0.25">
      <c r="B30" s="8">
        <v>80</v>
      </c>
      <c r="C30" s="8">
        <v>71</v>
      </c>
      <c r="D30" s="8">
        <v>80</v>
      </c>
      <c r="E30" s="34">
        <f t="shared" si="0"/>
        <v>1</v>
      </c>
      <c r="F30" s="8">
        <f t="shared" si="2"/>
        <v>3.3333333333333333E-2</v>
      </c>
      <c r="H30" s="8">
        <f t="shared" si="3"/>
        <v>80</v>
      </c>
      <c r="I30" s="9">
        <f t="shared" si="1"/>
        <v>15.266666666666666</v>
      </c>
      <c r="J30" s="9">
        <f t="shared" si="4"/>
        <v>233.07111111111109</v>
      </c>
    </row>
    <row r="31" spans="2:17" x14ac:dyDescent="0.25">
      <c r="B31" s="8">
        <v>72</v>
      </c>
      <c r="C31" s="8">
        <v>72</v>
      </c>
      <c r="D31" s="8">
        <v>84</v>
      </c>
      <c r="E31" s="34">
        <f t="shared" si="0"/>
        <v>1</v>
      </c>
      <c r="F31" s="8">
        <f t="shared" si="2"/>
        <v>3.3333333333333333E-2</v>
      </c>
      <c r="H31" s="8">
        <f t="shared" si="3"/>
        <v>72</v>
      </c>
      <c r="I31" s="9">
        <f t="shared" si="1"/>
        <v>7.2666666666666657</v>
      </c>
      <c r="J31" s="9">
        <f t="shared" si="4"/>
        <v>52.804444444444428</v>
      </c>
    </row>
    <row r="32" spans="2:17" x14ac:dyDescent="0.25">
      <c r="B32" s="8">
        <v>64</v>
      </c>
      <c r="C32" s="8">
        <v>73</v>
      </c>
      <c r="D32" s="20" t="s">
        <v>22</v>
      </c>
      <c r="E32" s="35">
        <f>SUM(E8:E31)</f>
        <v>30</v>
      </c>
      <c r="F32" s="35">
        <f>SUM(F8:F31)</f>
        <v>0.99999999999999989</v>
      </c>
      <c r="H32" s="8">
        <f t="shared" si="3"/>
        <v>64</v>
      </c>
      <c r="I32" s="9">
        <f t="shared" si="1"/>
        <v>-0.73333333333333428</v>
      </c>
      <c r="J32" s="9">
        <f t="shared" si="4"/>
        <v>0.53777777777777913</v>
      </c>
    </row>
    <row r="33" spans="2:16" x14ac:dyDescent="0.25">
      <c r="B33" s="8">
        <v>54</v>
      </c>
      <c r="C33" s="8">
        <v>73</v>
      </c>
      <c r="H33" s="8">
        <f t="shared" si="3"/>
        <v>54</v>
      </c>
      <c r="I33" s="9">
        <f t="shared" si="1"/>
        <v>-10.733333333333334</v>
      </c>
      <c r="J33" s="9">
        <f t="shared" si="4"/>
        <v>115.20444444444446</v>
      </c>
    </row>
    <row r="34" spans="2:16" x14ac:dyDescent="0.25">
      <c r="B34" s="8">
        <v>66</v>
      </c>
      <c r="C34" s="8">
        <v>78</v>
      </c>
      <c r="H34" s="8">
        <f t="shared" si="3"/>
        <v>66</v>
      </c>
      <c r="I34" s="9">
        <f t="shared" si="1"/>
        <v>1.2666666666666657</v>
      </c>
      <c r="J34" s="9">
        <f t="shared" si="4"/>
        <v>1.6044444444444421</v>
      </c>
    </row>
    <row r="35" spans="2:16" x14ac:dyDescent="0.25">
      <c r="B35" s="8">
        <v>62</v>
      </c>
      <c r="C35" s="8">
        <v>79</v>
      </c>
      <c r="H35" s="8">
        <f t="shared" si="3"/>
        <v>62</v>
      </c>
      <c r="I35" s="9">
        <f t="shared" si="1"/>
        <v>-2.7333333333333343</v>
      </c>
      <c r="J35" s="9">
        <f t="shared" si="4"/>
        <v>7.4711111111111164</v>
      </c>
    </row>
    <row r="36" spans="2:16" x14ac:dyDescent="0.25">
      <c r="B36" s="8">
        <v>60</v>
      </c>
      <c r="C36" s="8">
        <v>80</v>
      </c>
      <c r="H36" s="8">
        <f t="shared" si="3"/>
        <v>60</v>
      </c>
      <c r="I36" s="9">
        <f t="shared" si="1"/>
        <v>-4.7333333333333343</v>
      </c>
      <c r="J36" s="9">
        <f t="shared" si="4"/>
        <v>22.404444444444454</v>
      </c>
    </row>
    <row r="37" spans="2:16" x14ac:dyDescent="0.25">
      <c r="B37" s="8">
        <v>58</v>
      </c>
      <c r="C37" s="8">
        <v>84</v>
      </c>
      <c r="H37" s="8">
        <f t="shared" si="3"/>
        <v>58</v>
      </c>
      <c r="I37" s="9">
        <f t="shared" si="1"/>
        <v>-6.7333333333333343</v>
      </c>
      <c r="J37" s="9">
        <f t="shared" si="4"/>
        <v>45.337777777777788</v>
      </c>
    </row>
    <row r="38" spans="2:16" x14ac:dyDescent="0.25">
      <c r="I38" s="11" t="s">
        <v>49</v>
      </c>
      <c r="J38" s="9">
        <f>SUM(J8:J37)</f>
        <v>2381.8666666666663</v>
      </c>
    </row>
    <row r="39" spans="2:16" x14ac:dyDescent="0.25">
      <c r="I39" s="11" t="s">
        <v>87</v>
      </c>
      <c r="J39" s="9">
        <f>J38/E32</f>
        <v>79.395555555555546</v>
      </c>
    </row>
    <row r="41" spans="2:16" x14ac:dyDescent="0.25">
      <c r="J41" s="152" t="s">
        <v>61</v>
      </c>
      <c r="K41" s="153"/>
      <c r="L41" s="18" t="s">
        <v>62</v>
      </c>
    </row>
    <row r="42" spans="2:16" x14ac:dyDescent="0.25">
      <c r="B42" s="6" t="s">
        <v>80</v>
      </c>
      <c r="C42" s="6" t="s">
        <v>27</v>
      </c>
      <c r="E42" s="152" t="s">
        <v>51</v>
      </c>
      <c r="F42" s="155"/>
      <c r="G42" s="153"/>
      <c r="I42" s="11" t="s">
        <v>57</v>
      </c>
      <c r="J42" s="11" t="s">
        <v>58</v>
      </c>
      <c r="K42" s="11" t="s">
        <v>59</v>
      </c>
      <c r="L42" s="18" t="s">
        <v>60</v>
      </c>
      <c r="M42" s="11" t="s">
        <v>63</v>
      </c>
      <c r="N42" s="11" t="s">
        <v>64</v>
      </c>
      <c r="O42" s="11" t="s">
        <v>65</v>
      </c>
      <c r="P42" s="11" t="s">
        <v>64</v>
      </c>
    </row>
    <row r="43" spans="2:16" x14ac:dyDescent="0.25">
      <c r="B43" s="8">
        <v>57</v>
      </c>
      <c r="C43" s="8">
        <v>48</v>
      </c>
      <c r="E43" s="12" t="s">
        <v>52</v>
      </c>
      <c r="F43" s="12"/>
      <c r="G43" s="12">
        <f>COUNT(B43:B72)</f>
        <v>30</v>
      </c>
      <c r="I43" s="12">
        <v>1</v>
      </c>
      <c r="J43" s="12">
        <f>C43</f>
        <v>48</v>
      </c>
      <c r="K43" s="15">
        <f t="shared" ref="K43:K49" si="5">J43+$G$48</f>
        <v>53.142857142857146</v>
      </c>
      <c r="L43" s="16">
        <f t="shared" ref="L43:L49" si="6">(J43+K43)/2</f>
        <v>50.571428571428569</v>
      </c>
      <c r="M43" s="12">
        <f t="array" ref="M43:M49">FREQUENCY(B43:B72,K43:K49)</f>
        <v>4</v>
      </c>
      <c r="N43" s="12">
        <f>M43</f>
        <v>4</v>
      </c>
      <c r="O43" s="17">
        <f>M43/$G$43</f>
        <v>0.13333333333333333</v>
      </c>
      <c r="P43" s="17">
        <f>O43</f>
        <v>0.13333333333333333</v>
      </c>
    </row>
    <row r="44" spans="2:16" x14ac:dyDescent="0.25">
      <c r="B44" s="8">
        <v>66</v>
      </c>
      <c r="C44" s="8">
        <v>52</v>
      </c>
      <c r="E44" s="12" t="s">
        <v>53</v>
      </c>
      <c r="F44" s="12"/>
      <c r="G44" s="12">
        <f>MAX(B43:B72)</f>
        <v>84</v>
      </c>
      <c r="I44" s="12">
        <v>2</v>
      </c>
      <c r="J44" s="15">
        <f t="shared" ref="J44:J49" si="7">K43+1</f>
        <v>54.142857142857146</v>
      </c>
      <c r="K44" s="15">
        <f t="shared" si="5"/>
        <v>59.285714285714292</v>
      </c>
      <c r="L44" s="16">
        <f t="shared" si="6"/>
        <v>56.714285714285722</v>
      </c>
      <c r="M44" s="12">
        <v>4</v>
      </c>
      <c r="N44" s="12">
        <f>N43+M44</f>
        <v>8</v>
      </c>
      <c r="O44" s="17">
        <f t="shared" ref="O44:O49" si="8">M44/$G$43</f>
        <v>0.13333333333333333</v>
      </c>
      <c r="P44" s="17">
        <f>P43+O44</f>
        <v>0.26666666666666666</v>
      </c>
    </row>
    <row r="45" spans="2:16" x14ac:dyDescent="0.25">
      <c r="B45" s="8">
        <v>67</v>
      </c>
      <c r="C45" s="8">
        <v>53</v>
      </c>
      <c r="E45" s="12" t="s">
        <v>54</v>
      </c>
      <c r="F45" s="12"/>
      <c r="G45" s="12">
        <f>MIN(B43:B72)</f>
        <v>48</v>
      </c>
      <c r="I45" s="12">
        <v>3</v>
      </c>
      <c r="J45" s="15">
        <f t="shared" si="7"/>
        <v>60.285714285714292</v>
      </c>
      <c r="K45" s="15">
        <f t="shared" si="5"/>
        <v>65.428571428571431</v>
      </c>
      <c r="L45" s="16">
        <f t="shared" si="6"/>
        <v>62.857142857142861</v>
      </c>
      <c r="M45" s="12">
        <v>8</v>
      </c>
      <c r="N45" s="12">
        <f t="shared" ref="N45:P47" si="9">N44+M45</f>
        <v>16</v>
      </c>
      <c r="O45" s="17">
        <f t="shared" si="8"/>
        <v>0.26666666666666666</v>
      </c>
      <c r="P45" s="17">
        <f t="shared" si="9"/>
        <v>0.53333333333333333</v>
      </c>
    </row>
    <row r="46" spans="2:16" x14ac:dyDescent="0.25">
      <c r="B46" s="8">
        <v>63</v>
      </c>
      <c r="C46" s="8">
        <v>53</v>
      </c>
      <c r="E46" s="12" t="s">
        <v>25</v>
      </c>
      <c r="F46" s="12"/>
      <c r="G46" s="12">
        <f>C72-C43</f>
        <v>36</v>
      </c>
      <c r="I46" s="12">
        <v>4</v>
      </c>
      <c r="J46" s="15">
        <f t="shared" si="7"/>
        <v>66.428571428571431</v>
      </c>
      <c r="K46" s="15">
        <f t="shared" si="5"/>
        <v>71.571428571428569</v>
      </c>
      <c r="L46" s="16">
        <f t="shared" si="6"/>
        <v>69</v>
      </c>
      <c r="M46" s="12">
        <v>7</v>
      </c>
      <c r="N46" s="12">
        <f t="shared" si="9"/>
        <v>23</v>
      </c>
      <c r="O46" s="17">
        <f t="shared" si="8"/>
        <v>0.23333333333333334</v>
      </c>
      <c r="P46" s="17">
        <f t="shared" si="9"/>
        <v>0.76666666666666661</v>
      </c>
    </row>
    <row r="47" spans="2:16" x14ac:dyDescent="0.25">
      <c r="B47" s="8">
        <v>73</v>
      </c>
      <c r="C47" s="8">
        <v>54</v>
      </c>
      <c r="E47" s="12" t="s">
        <v>55</v>
      </c>
      <c r="F47" s="12"/>
      <c r="G47" s="12">
        <v>7</v>
      </c>
      <c r="I47" s="12">
        <v>5</v>
      </c>
      <c r="J47" s="15">
        <f t="shared" si="7"/>
        <v>72.571428571428569</v>
      </c>
      <c r="K47" s="15">
        <f t="shared" si="5"/>
        <v>77.714285714285708</v>
      </c>
      <c r="L47" s="16">
        <f t="shared" si="6"/>
        <v>75.142857142857139</v>
      </c>
      <c r="M47" s="12">
        <v>3</v>
      </c>
      <c r="N47" s="12">
        <f t="shared" si="9"/>
        <v>26</v>
      </c>
      <c r="O47" s="17">
        <f t="shared" si="8"/>
        <v>0.1</v>
      </c>
      <c r="P47" s="17">
        <f t="shared" si="9"/>
        <v>0.86666666666666659</v>
      </c>
    </row>
    <row r="48" spans="2:16" x14ac:dyDescent="0.25">
      <c r="B48" s="8">
        <v>65</v>
      </c>
      <c r="C48" s="8">
        <v>55</v>
      </c>
      <c r="E48" s="12" t="s">
        <v>56</v>
      </c>
      <c r="F48" s="12"/>
      <c r="G48" s="15">
        <f>G46/G47</f>
        <v>5.1428571428571432</v>
      </c>
      <c r="I48" s="12">
        <v>6</v>
      </c>
      <c r="J48" s="15">
        <f t="shared" si="7"/>
        <v>78.714285714285708</v>
      </c>
      <c r="K48" s="15">
        <f t="shared" si="5"/>
        <v>83.857142857142847</v>
      </c>
      <c r="L48" s="16">
        <f t="shared" si="6"/>
        <v>81.285714285714278</v>
      </c>
      <c r="M48" s="12">
        <v>3</v>
      </c>
      <c r="N48" s="12">
        <f>N47+M48</f>
        <v>29</v>
      </c>
      <c r="O48" s="17">
        <f t="shared" si="8"/>
        <v>0.1</v>
      </c>
      <c r="P48" s="17">
        <f>P47+O48</f>
        <v>0.96666666666666656</v>
      </c>
    </row>
    <row r="49" spans="2:16" x14ac:dyDescent="0.25">
      <c r="B49" s="8">
        <v>70</v>
      </c>
      <c r="C49" s="8">
        <v>57</v>
      </c>
      <c r="I49" s="12">
        <v>7</v>
      </c>
      <c r="J49" s="15">
        <f t="shared" si="7"/>
        <v>84.857142857142847</v>
      </c>
      <c r="K49" s="15">
        <f t="shared" si="5"/>
        <v>89.999999999999986</v>
      </c>
      <c r="L49" s="16">
        <f t="shared" si="6"/>
        <v>87.428571428571416</v>
      </c>
      <c r="M49" s="12">
        <v>1</v>
      </c>
      <c r="N49" s="12">
        <f>N48+M49</f>
        <v>30</v>
      </c>
      <c r="O49" s="17">
        <f t="shared" si="8"/>
        <v>3.3333333333333333E-2</v>
      </c>
      <c r="P49" s="17">
        <f>P48+O49</f>
        <v>0.99999999999999989</v>
      </c>
    </row>
    <row r="50" spans="2:16" x14ac:dyDescent="0.25">
      <c r="B50" s="8">
        <v>71</v>
      </c>
      <c r="C50" s="8">
        <v>58</v>
      </c>
    </row>
    <row r="51" spans="2:16" x14ac:dyDescent="0.25">
      <c r="B51" s="8">
        <v>62</v>
      </c>
      <c r="C51" s="8">
        <v>60</v>
      </c>
      <c r="I51" s="152" t="s">
        <v>66</v>
      </c>
      <c r="J51" s="153"/>
    </row>
    <row r="52" spans="2:16" x14ac:dyDescent="0.25">
      <c r="B52" s="8">
        <v>53</v>
      </c>
      <c r="C52" s="8">
        <v>60</v>
      </c>
      <c r="I52" s="18" t="s">
        <v>57</v>
      </c>
      <c r="J52" s="18" t="s">
        <v>67</v>
      </c>
      <c r="K52" s="18" t="s">
        <v>60</v>
      </c>
    </row>
    <row r="53" spans="2:16" x14ac:dyDescent="0.25">
      <c r="B53" s="8">
        <v>78</v>
      </c>
      <c r="C53" s="8">
        <v>61</v>
      </c>
      <c r="I53" s="15">
        <v>1</v>
      </c>
      <c r="J53" s="16" t="s">
        <v>73</v>
      </c>
      <c r="K53" s="16">
        <f>L43</f>
        <v>50.571428571428569</v>
      </c>
    </row>
    <row r="54" spans="2:16" x14ac:dyDescent="0.25">
      <c r="B54" s="8">
        <v>55</v>
      </c>
      <c r="C54" s="8">
        <v>62</v>
      </c>
      <c r="I54" s="15">
        <v>2</v>
      </c>
      <c r="J54" s="16" t="s">
        <v>74</v>
      </c>
      <c r="K54" s="16">
        <f t="shared" ref="K54:K59" si="10">L44</f>
        <v>56.714285714285722</v>
      </c>
    </row>
    <row r="55" spans="2:16" x14ac:dyDescent="0.25">
      <c r="B55" s="8">
        <v>61</v>
      </c>
      <c r="C55" s="8">
        <v>62</v>
      </c>
      <c r="I55" s="15">
        <v>3</v>
      </c>
      <c r="J55" s="16" t="s">
        <v>75</v>
      </c>
      <c r="K55" s="16">
        <f t="shared" si="10"/>
        <v>62.857142857142861</v>
      </c>
    </row>
    <row r="56" spans="2:16" x14ac:dyDescent="0.25">
      <c r="B56" s="8">
        <v>84</v>
      </c>
      <c r="C56" s="8">
        <v>63</v>
      </c>
      <c r="I56" s="15">
        <v>4</v>
      </c>
      <c r="J56" s="16" t="s">
        <v>76</v>
      </c>
      <c r="K56" s="16">
        <f t="shared" si="10"/>
        <v>69</v>
      </c>
    </row>
    <row r="57" spans="2:16" x14ac:dyDescent="0.25">
      <c r="B57" s="8">
        <v>52</v>
      </c>
      <c r="C57" s="8">
        <v>64</v>
      </c>
      <c r="I57" s="15">
        <v>5</v>
      </c>
      <c r="J57" s="16" t="s">
        <v>77</v>
      </c>
      <c r="K57" s="16">
        <f t="shared" si="10"/>
        <v>75.142857142857139</v>
      </c>
    </row>
    <row r="58" spans="2:16" x14ac:dyDescent="0.25">
      <c r="B58" s="8">
        <v>60</v>
      </c>
      <c r="C58" s="8">
        <v>65</v>
      </c>
      <c r="I58" s="15">
        <v>6</v>
      </c>
      <c r="J58" s="16" t="s">
        <v>78</v>
      </c>
      <c r="K58" s="16">
        <f>L48</f>
        <v>81.285714285714278</v>
      </c>
    </row>
    <row r="59" spans="2:16" x14ac:dyDescent="0.25">
      <c r="B59" s="8">
        <v>53</v>
      </c>
      <c r="C59" s="8">
        <v>66</v>
      </c>
      <c r="I59" s="15">
        <v>7</v>
      </c>
      <c r="J59" s="16" t="s">
        <v>79</v>
      </c>
      <c r="K59" s="16">
        <f t="shared" si="10"/>
        <v>87.428571428571416</v>
      </c>
    </row>
    <row r="60" spans="2:16" x14ac:dyDescent="0.25">
      <c r="B60" s="8">
        <v>69</v>
      </c>
      <c r="C60" s="8">
        <v>66</v>
      </c>
    </row>
    <row r="61" spans="2:16" x14ac:dyDescent="0.25">
      <c r="B61" s="8">
        <v>67</v>
      </c>
      <c r="C61" s="8">
        <v>67</v>
      </c>
    </row>
    <row r="62" spans="2:16" x14ac:dyDescent="0.25">
      <c r="B62" s="8">
        <v>48</v>
      </c>
      <c r="C62" s="8">
        <v>67</v>
      </c>
    </row>
    <row r="63" spans="2:16" x14ac:dyDescent="0.25">
      <c r="B63" s="8">
        <v>73</v>
      </c>
      <c r="C63" s="8">
        <v>69</v>
      </c>
    </row>
    <row r="64" spans="2:16" x14ac:dyDescent="0.25">
      <c r="B64" s="8">
        <v>79</v>
      </c>
      <c r="C64" s="8">
        <v>70</v>
      </c>
    </row>
    <row r="65" spans="2:17" x14ac:dyDescent="0.25">
      <c r="B65" s="8">
        <v>80</v>
      </c>
      <c r="C65" s="8">
        <v>71</v>
      </c>
    </row>
    <row r="66" spans="2:17" x14ac:dyDescent="0.25">
      <c r="B66" s="8">
        <v>72</v>
      </c>
      <c r="C66" s="8">
        <v>72</v>
      </c>
    </row>
    <row r="67" spans="2:17" x14ac:dyDescent="0.25">
      <c r="B67" s="8">
        <v>64</v>
      </c>
      <c r="C67" s="8">
        <v>73</v>
      </c>
    </row>
    <row r="68" spans="2:17" x14ac:dyDescent="0.25">
      <c r="B68" s="8">
        <v>54</v>
      </c>
      <c r="C68" s="8">
        <v>73</v>
      </c>
    </row>
    <row r="69" spans="2:17" x14ac:dyDescent="0.25">
      <c r="B69" s="8">
        <v>66</v>
      </c>
      <c r="C69" s="8">
        <v>78</v>
      </c>
    </row>
    <row r="70" spans="2:17" x14ac:dyDescent="0.25">
      <c r="B70" s="8">
        <v>62</v>
      </c>
      <c r="C70" s="8">
        <v>79</v>
      </c>
    </row>
    <row r="71" spans="2:17" x14ac:dyDescent="0.25">
      <c r="B71" s="8">
        <v>60</v>
      </c>
      <c r="C71" s="8">
        <v>80</v>
      </c>
    </row>
    <row r="72" spans="2:17" x14ac:dyDescent="0.25">
      <c r="B72" s="8">
        <v>58</v>
      </c>
      <c r="C72" s="8">
        <v>84</v>
      </c>
    </row>
    <row r="75" spans="2:17" ht="28.5" x14ac:dyDescent="0.45">
      <c r="B75" s="156" t="s">
        <v>82</v>
      </c>
      <c r="C75" s="156"/>
      <c r="D75" s="156"/>
      <c r="E75" s="156"/>
      <c r="F75" s="32"/>
    </row>
    <row r="77" spans="2:17" ht="15.75" thickBot="1" x14ac:dyDescent="0.3">
      <c r="B77" s="6" t="s">
        <v>83</v>
      </c>
      <c r="C77" s="6" t="s">
        <v>27</v>
      </c>
      <c r="D77" s="6" t="s">
        <v>28</v>
      </c>
      <c r="E77" s="6" t="s">
        <v>29</v>
      </c>
      <c r="F77" s="6" t="s">
        <v>65</v>
      </c>
      <c r="H77" s="7" t="s">
        <v>28</v>
      </c>
      <c r="I77" s="7" t="s">
        <v>30</v>
      </c>
      <c r="J77" s="7" t="s">
        <v>31</v>
      </c>
    </row>
    <row r="78" spans="2:17" x14ac:dyDescent="0.25">
      <c r="B78" s="8">
        <v>57.1</v>
      </c>
      <c r="C78" s="8">
        <v>42.73</v>
      </c>
      <c r="D78" s="8">
        <v>42.73</v>
      </c>
      <c r="E78" s="8">
        <f>COUNTIF($B$78:$B$127,D78)</f>
        <v>1</v>
      </c>
      <c r="F78" s="8">
        <f>E78/$E$128</f>
        <v>0.02</v>
      </c>
      <c r="H78" s="8">
        <v>57.1</v>
      </c>
      <c r="I78" s="9">
        <f>H78-$M$79</f>
        <v>1.7999999999993577E-2</v>
      </c>
      <c r="J78" s="9">
        <f>I78^2</f>
        <v>3.2399999999976875E-4</v>
      </c>
      <c r="L78" s="150" t="s">
        <v>32</v>
      </c>
      <c r="M78" s="150"/>
      <c r="P78" s="24" t="s">
        <v>83</v>
      </c>
      <c r="Q78" s="24"/>
    </row>
    <row r="79" spans="2:17" x14ac:dyDescent="0.25">
      <c r="B79" s="8">
        <v>56.17</v>
      </c>
      <c r="C79" s="8">
        <v>45.43</v>
      </c>
      <c r="D79" s="8">
        <v>45.43</v>
      </c>
      <c r="E79" s="8">
        <f t="shared" ref="E79:E127" si="11">COUNTIF($B$78:$B$127,D79)</f>
        <v>1</v>
      </c>
      <c r="F79" s="8">
        <f t="shared" ref="F79:F127" si="12">E79/$E$128</f>
        <v>0.02</v>
      </c>
      <c r="H79" s="8">
        <v>56.17</v>
      </c>
      <c r="I79" s="9">
        <f t="shared" ref="I79:I127" si="13">H79-$M$79</f>
        <v>-0.91200000000000614</v>
      </c>
      <c r="J79" s="9">
        <f t="shared" ref="J79:J107" si="14">I79^2</f>
        <v>0.83174400000001125</v>
      </c>
      <c r="L79" s="11" t="s">
        <v>33</v>
      </c>
      <c r="M79" s="9">
        <f>AVERAGE(B78:B127)</f>
        <v>57.082000000000008</v>
      </c>
      <c r="P79" s="22"/>
      <c r="Q79" s="22"/>
    </row>
    <row r="80" spans="2:17" x14ac:dyDescent="0.25">
      <c r="B80" s="8">
        <v>50.25</v>
      </c>
      <c r="C80" s="8">
        <v>46.02</v>
      </c>
      <c r="D80" s="8">
        <v>46.02</v>
      </c>
      <c r="E80" s="8">
        <f t="shared" si="11"/>
        <v>1</v>
      </c>
      <c r="F80" s="8">
        <f t="shared" si="12"/>
        <v>0.02</v>
      </c>
      <c r="H80" s="8">
        <v>50.25</v>
      </c>
      <c r="I80" s="9">
        <f t="shared" si="13"/>
        <v>-6.8320000000000078</v>
      </c>
      <c r="J80" s="9">
        <f t="shared" si="14"/>
        <v>46.676224000000104</v>
      </c>
      <c r="L80" s="11" t="s">
        <v>34</v>
      </c>
      <c r="M80" s="8">
        <f>MEDIAN(C78:C127)</f>
        <v>57.650000000000006</v>
      </c>
      <c r="P80" s="22" t="s">
        <v>33</v>
      </c>
      <c r="Q80" s="22">
        <v>57.082600000000014</v>
      </c>
    </row>
    <row r="81" spans="2:17" x14ac:dyDescent="0.25">
      <c r="B81" s="8">
        <v>69.48</v>
      </c>
      <c r="C81" s="8">
        <v>46.37</v>
      </c>
      <c r="D81" s="8">
        <v>46.37</v>
      </c>
      <c r="E81" s="8">
        <f t="shared" si="11"/>
        <v>1</v>
      </c>
      <c r="F81" s="8">
        <f t="shared" si="12"/>
        <v>0.02</v>
      </c>
      <c r="H81" s="8">
        <v>69.48</v>
      </c>
      <c r="I81" s="9">
        <f t="shared" si="13"/>
        <v>12.397999999999996</v>
      </c>
      <c r="J81" s="9">
        <f t="shared" si="14"/>
        <v>153.7104039999999</v>
      </c>
      <c r="L81" s="11" t="s">
        <v>35</v>
      </c>
      <c r="M81" s="8" t="e">
        <f>MODE(B78:B127)</f>
        <v>#N/A</v>
      </c>
      <c r="P81" s="22" t="s">
        <v>36</v>
      </c>
      <c r="Q81" s="22">
        <v>1.0607567883740385</v>
      </c>
    </row>
    <row r="82" spans="2:17" x14ac:dyDescent="0.25">
      <c r="B82" s="8">
        <v>58.32</v>
      </c>
      <c r="C82" s="8">
        <v>46.39</v>
      </c>
      <c r="D82" s="8">
        <v>46.39</v>
      </c>
      <c r="E82" s="8">
        <f t="shared" si="11"/>
        <v>1</v>
      </c>
      <c r="F82" s="8">
        <f t="shared" si="12"/>
        <v>0.02</v>
      </c>
      <c r="H82" s="8">
        <v>58.32</v>
      </c>
      <c r="I82" s="9">
        <f t="shared" si="13"/>
        <v>1.2379999999999924</v>
      </c>
      <c r="J82" s="9">
        <f t="shared" si="14"/>
        <v>1.5326439999999812</v>
      </c>
      <c r="P82" s="22" t="s">
        <v>34</v>
      </c>
      <c r="Q82" s="22">
        <v>57.650000000000006</v>
      </c>
    </row>
    <row r="83" spans="2:17" x14ac:dyDescent="0.25">
      <c r="B83" s="8">
        <v>51.42</v>
      </c>
      <c r="C83" s="8">
        <v>47.16</v>
      </c>
      <c r="D83" s="8">
        <v>47.16</v>
      </c>
      <c r="E83" s="8">
        <f t="shared" si="11"/>
        <v>1</v>
      </c>
      <c r="F83" s="8">
        <f t="shared" si="12"/>
        <v>0.02</v>
      </c>
      <c r="H83" s="8">
        <v>51.42</v>
      </c>
      <c r="I83" s="9">
        <f t="shared" si="13"/>
        <v>-5.6620000000000061</v>
      </c>
      <c r="J83" s="9">
        <f t="shared" si="14"/>
        <v>32.058244000000073</v>
      </c>
      <c r="L83" s="150" t="s">
        <v>37</v>
      </c>
      <c r="M83" s="150"/>
      <c r="P83" s="22" t="s">
        <v>35</v>
      </c>
      <c r="Q83" s="22" t="e">
        <v>#N/A</v>
      </c>
    </row>
    <row r="84" spans="2:17" x14ac:dyDescent="0.25">
      <c r="B84" s="8">
        <v>55.45</v>
      </c>
      <c r="C84" s="8">
        <v>47.75</v>
      </c>
      <c r="D84" s="8">
        <v>47.75</v>
      </c>
      <c r="E84" s="8">
        <f t="shared" si="11"/>
        <v>1</v>
      </c>
      <c r="F84" s="8">
        <f t="shared" si="12"/>
        <v>0.02</v>
      </c>
      <c r="H84" s="8">
        <v>55.45</v>
      </c>
      <c r="I84" s="9">
        <f t="shared" si="13"/>
        <v>-1.632000000000005</v>
      </c>
      <c r="J84" s="9">
        <f t="shared" si="14"/>
        <v>2.6634240000000164</v>
      </c>
      <c r="L84" s="11" t="s">
        <v>25</v>
      </c>
      <c r="M84" s="12">
        <f>D127-D78</f>
        <v>31.4</v>
      </c>
      <c r="P84" s="22" t="s">
        <v>38</v>
      </c>
      <c r="Q84" s="22">
        <v>7.5006831824894613</v>
      </c>
    </row>
    <row r="85" spans="2:17" x14ac:dyDescent="0.25">
      <c r="B85" s="8">
        <v>60.37</v>
      </c>
      <c r="C85" s="8">
        <v>48.09</v>
      </c>
      <c r="D85" s="8">
        <v>48.09</v>
      </c>
      <c r="E85" s="8">
        <f t="shared" si="11"/>
        <v>1</v>
      </c>
      <c r="F85" s="8">
        <f t="shared" si="12"/>
        <v>0.02</v>
      </c>
      <c r="H85" s="8">
        <v>60.37</v>
      </c>
      <c r="I85" s="9">
        <f t="shared" si="13"/>
        <v>3.2879999999999896</v>
      </c>
      <c r="J85" s="9">
        <f t="shared" si="14"/>
        <v>10.810943999999932</v>
      </c>
      <c r="L85" s="11" t="s">
        <v>87</v>
      </c>
      <c r="M85" s="13">
        <f>_xlfn.VAR.P(B78:B127)</f>
        <v>55.146223999998718</v>
      </c>
      <c r="P85" s="22" t="s">
        <v>40</v>
      </c>
      <c r="Q85" s="22">
        <v>56.260248204080234</v>
      </c>
    </row>
    <row r="86" spans="2:17" x14ac:dyDescent="0.25">
      <c r="B86" s="8">
        <v>64</v>
      </c>
      <c r="C86" s="8">
        <v>48.1</v>
      </c>
      <c r="D86" s="8">
        <v>48.1</v>
      </c>
      <c r="E86" s="8">
        <f t="shared" si="11"/>
        <v>1</v>
      </c>
      <c r="F86" s="8">
        <f t="shared" si="12"/>
        <v>0.02</v>
      </c>
      <c r="H86" s="8">
        <v>64</v>
      </c>
      <c r="I86" s="9">
        <f t="shared" si="13"/>
        <v>6.9179999999999922</v>
      </c>
      <c r="J86" s="9">
        <f t="shared" si="14"/>
        <v>47.858723999999889</v>
      </c>
      <c r="L86" s="11" t="s">
        <v>41</v>
      </c>
      <c r="M86" s="13">
        <f>_xlfn.STDEV.P(B78:B127)</f>
        <v>7.4260503634165262</v>
      </c>
      <c r="P86" s="22" t="s">
        <v>42</v>
      </c>
      <c r="Q86" s="22">
        <v>-0.44772096091422497</v>
      </c>
    </row>
    <row r="87" spans="2:17" x14ac:dyDescent="0.25">
      <c r="B87" s="8">
        <v>48.1</v>
      </c>
      <c r="C87" s="8">
        <v>49.16</v>
      </c>
      <c r="D87" s="8">
        <v>49.16</v>
      </c>
      <c r="E87" s="8">
        <f t="shared" si="11"/>
        <v>1</v>
      </c>
      <c r="F87" s="8">
        <f t="shared" si="12"/>
        <v>0.02</v>
      </c>
      <c r="H87" s="8">
        <v>48.1</v>
      </c>
      <c r="I87" s="9">
        <f t="shared" si="13"/>
        <v>-8.9820000000000064</v>
      </c>
      <c r="J87" s="9">
        <f t="shared" si="14"/>
        <v>80.676324000000122</v>
      </c>
      <c r="P87" s="22" t="s">
        <v>43</v>
      </c>
      <c r="Q87" s="22">
        <v>0.21178414076638713</v>
      </c>
    </row>
    <row r="88" spans="2:17" x14ac:dyDescent="0.25">
      <c r="B88" s="8">
        <v>70.89</v>
      </c>
      <c r="C88" s="8">
        <v>50.25</v>
      </c>
      <c r="D88" s="8">
        <v>50.25</v>
      </c>
      <c r="E88" s="8">
        <f t="shared" si="11"/>
        <v>1</v>
      </c>
      <c r="F88" s="8">
        <f t="shared" si="12"/>
        <v>0.02</v>
      </c>
      <c r="H88" s="8">
        <v>70.89</v>
      </c>
      <c r="I88" s="9">
        <f t="shared" si="13"/>
        <v>13.807999999999993</v>
      </c>
      <c r="J88" s="9">
        <f t="shared" si="14"/>
        <v>190.6608639999998</v>
      </c>
      <c r="P88" s="22" t="s">
        <v>25</v>
      </c>
      <c r="Q88" s="22">
        <v>31.4</v>
      </c>
    </row>
    <row r="89" spans="2:17" x14ac:dyDescent="0.25">
      <c r="B89" s="8">
        <v>66.94</v>
      </c>
      <c r="C89" s="8">
        <v>50.82</v>
      </c>
      <c r="D89" s="8">
        <v>50.82</v>
      </c>
      <c r="E89" s="8">
        <f t="shared" si="11"/>
        <v>1</v>
      </c>
      <c r="F89" s="8">
        <f t="shared" si="12"/>
        <v>0.02</v>
      </c>
      <c r="H89" s="8">
        <v>66.94</v>
      </c>
      <c r="I89" s="9">
        <f t="shared" si="13"/>
        <v>9.8579999999999899</v>
      </c>
      <c r="J89" s="9">
        <f t="shared" si="14"/>
        <v>97.180163999999806</v>
      </c>
      <c r="P89" s="22" t="s">
        <v>44</v>
      </c>
      <c r="Q89" s="22">
        <v>42.73</v>
      </c>
    </row>
    <row r="90" spans="2:17" x14ac:dyDescent="0.25">
      <c r="B90" s="8">
        <v>46.39</v>
      </c>
      <c r="C90" s="8">
        <v>51.15</v>
      </c>
      <c r="D90" s="8">
        <v>51.15</v>
      </c>
      <c r="E90" s="8">
        <f t="shared" si="11"/>
        <v>1</v>
      </c>
      <c r="F90" s="8">
        <f t="shared" si="12"/>
        <v>0.02</v>
      </c>
      <c r="H90" s="8">
        <v>46.39</v>
      </c>
      <c r="I90" s="9">
        <f t="shared" si="13"/>
        <v>-10.692000000000007</v>
      </c>
      <c r="J90" s="9">
        <f t="shared" si="14"/>
        <v>114.31886400000016</v>
      </c>
      <c r="P90" s="22" t="s">
        <v>45</v>
      </c>
      <c r="Q90" s="22">
        <v>74.13</v>
      </c>
    </row>
    <row r="91" spans="2:17" x14ac:dyDescent="0.25">
      <c r="B91" s="8">
        <v>46.02</v>
      </c>
      <c r="C91" s="8">
        <v>51.42</v>
      </c>
      <c r="D91" s="8">
        <v>51.42</v>
      </c>
      <c r="E91" s="8">
        <f t="shared" si="11"/>
        <v>1</v>
      </c>
      <c r="F91" s="8">
        <f t="shared" si="12"/>
        <v>0.02</v>
      </c>
      <c r="H91" s="8">
        <v>46.02</v>
      </c>
      <c r="I91" s="9">
        <f t="shared" si="13"/>
        <v>-11.062000000000005</v>
      </c>
      <c r="J91" s="9">
        <f t="shared" si="14"/>
        <v>122.3678440000001</v>
      </c>
      <c r="P91" s="22" t="s">
        <v>46</v>
      </c>
      <c r="Q91" s="22">
        <v>2854.1300000000006</v>
      </c>
    </row>
    <row r="92" spans="2:17" ht="15.75" thickBot="1" x14ac:dyDescent="0.3">
      <c r="B92" s="8">
        <v>50.82</v>
      </c>
      <c r="C92" s="8">
        <v>52.41</v>
      </c>
      <c r="D92" s="8">
        <v>52.41</v>
      </c>
      <c r="E92" s="8">
        <f t="shared" si="11"/>
        <v>1</v>
      </c>
      <c r="F92" s="8">
        <f t="shared" si="12"/>
        <v>0.02</v>
      </c>
      <c r="H92" s="8">
        <v>50.82</v>
      </c>
      <c r="I92" s="9">
        <f t="shared" si="13"/>
        <v>-6.2620000000000076</v>
      </c>
      <c r="J92" s="9">
        <f t="shared" si="14"/>
        <v>39.212644000000097</v>
      </c>
      <c r="P92" s="23" t="s">
        <v>47</v>
      </c>
      <c r="Q92" s="23">
        <v>50</v>
      </c>
    </row>
    <row r="93" spans="2:17" ht="15.75" thickBot="1" x14ac:dyDescent="0.3">
      <c r="B93" s="8">
        <v>58.76</v>
      </c>
      <c r="C93" s="8">
        <v>52.59</v>
      </c>
      <c r="D93" s="8">
        <v>52.59</v>
      </c>
      <c r="E93" s="8">
        <f t="shared" si="11"/>
        <v>1</v>
      </c>
      <c r="F93" s="8">
        <f t="shared" si="12"/>
        <v>0.02</v>
      </c>
      <c r="H93" s="8">
        <v>58.76</v>
      </c>
      <c r="I93" s="9">
        <f t="shared" si="13"/>
        <v>1.6779999999999902</v>
      </c>
      <c r="J93" s="9">
        <f t="shared" si="14"/>
        <v>2.8156839999999672</v>
      </c>
      <c r="P93" s="14" t="s">
        <v>48</v>
      </c>
      <c r="Q93" s="14">
        <v>0</v>
      </c>
    </row>
    <row r="94" spans="2:17" x14ac:dyDescent="0.25">
      <c r="B94" s="8">
        <v>58.14</v>
      </c>
      <c r="C94" s="8">
        <v>54.16</v>
      </c>
      <c r="D94" s="8">
        <v>54.16</v>
      </c>
      <c r="E94" s="8">
        <f t="shared" si="11"/>
        <v>1</v>
      </c>
      <c r="F94" s="8">
        <f t="shared" si="12"/>
        <v>0.02</v>
      </c>
      <c r="H94" s="8">
        <v>58.14</v>
      </c>
      <c r="I94" s="9">
        <f t="shared" si="13"/>
        <v>1.0579999999999927</v>
      </c>
      <c r="J94" s="9">
        <f t="shared" si="14"/>
        <v>1.1193639999999847</v>
      </c>
    </row>
    <row r="95" spans="2:17" x14ac:dyDescent="0.25">
      <c r="B95" s="8">
        <v>52.41</v>
      </c>
      <c r="C95" s="8">
        <v>55.01</v>
      </c>
      <c r="D95" s="8">
        <v>55.01</v>
      </c>
      <c r="E95" s="8">
        <f t="shared" si="11"/>
        <v>1</v>
      </c>
      <c r="F95" s="8">
        <f t="shared" si="12"/>
        <v>0.02</v>
      </c>
      <c r="H95" s="8">
        <v>52.41</v>
      </c>
      <c r="I95" s="9">
        <f t="shared" si="13"/>
        <v>-4.6720000000000113</v>
      </c>
      <c r="J95" s="9">
        <f t="shared" si="14"/>
        <v>21.827584000000105</v>
      </c>
    </row>
    <row r="96" spans="2:17" x14ac:dyDescent="0.25">
      <c r="B96" s="8">
        <v>47.75</v>
      </c>
      <c r="C96" s="8">
        <v>55.14</v>
      </c>
      <c r="D96" s="8">
        <v>55.14</v>
      </c>
      <c r="E96" s="8">
        <f t="shared" si="11"/>
        <v>1</v>
      </c>
      <c r="F96" s="8">
        <f t="shared" si="12"/>
        <v>0.02</v>
      </c>
      <c r="H96" s="8">
        <v>47.78</v>
      </c>
      <c r="I96" s="9">
        <f t="shared" si="13"/>
        <v>-9.3020000000000067</v>
      </c>
      <c r="J96" s="9">
        <f t="shared" si="14"/>
        <v>86.527204000000125</v>
      </c>
    </row>
    <row r="97" spans="2:10" x14ac:dyDescent="0.25">
      <c r="B97" s="8">
        <v>59.62</v>
      </c>
      <c r="C97" s="8">
        <v>55.45</v>
      </c>
      <c r="D97" s="8">
        <v>55.45</v>
      </c>
      <c r="E97" s="8">
        <f t="shared" si="11"/>
        <v>1</v>
      </c>
      <c r="F97" s="8">
        <f t="shared" si="12"/>
        <v>0.02</v>
      </c>
      <c r="H97" s="8">
        <v>59.62</v>
      </c>
      <c r="I97" s="9">
        <f t="shared" si="13"/>
        <v>2.5379999999999896</v>
      </c>
      <c r="J97" s="9">
        <f t="shared" si="14"/>
        <v>6.4414439999999473</v>
      </c>
    </row>
    <row r="98" spans="2:10" x14ac:dyDescent="0.25">
      <c r="B98" s="8">
        <v>59.17</v>
      </c>
      <c r="C98" s="8">
        <v>56.17</v>
      </c>
      <c r="D98" s="8">
        <v>56.17</v>
      </c>
      <c r="E98" s="8">
        <f t="shared" si="11"/>
        <v>1</v>
      </c>
      <c r="F98" s="8">
        <f t="shared" si="12"/>
        <v>0.02</v>
      </c>
      <c r="H98" s="8">
        <v>59.17</v>
      </c>
      <c r="I98" s="9">
        <f t="shared" si="13"/>
        <v>2.0879999999999939</v>
      </c>
      <c r="J98" s="9">
        <f t="shared" si="14"/>
        <v>4.3597439999999743</v>
      </c>
    </row>
    <row r="99" spans="2:10" x14ac:dyDescent="0.25">
      <c r="B99" s="8">
        <v>67.08</v>
      </c>
      <c r="C99" s="8">
        <v>57.1</v>
      </c>
      <c r="D99" s="8">
        <v>57.1</v>
      </c>
      <c r="E99" s="8">
        <f t="shared" si="11"/>
        <v>1</v>
      </c>
      <c r="F99" s="8">
        <f t="shared" si="12"/>
        <v>0.02</v>
      </c>
      <c r="H99" s="8">
        <v>67.08</v>
      </c>
      <c r="I99" s="9">
        <f t="shared" si="13"/>
        <v>9.9979999999999905</v>
      </c>
      <c r="J99" s="9">
        <f t="shared" si="14"/>
        <v>99.960003999999813</v>
      </c>
    </row>
    <row r="100" spans="2:10" x14ac:dyDescent="0.25">
      <c r="B100" s="8">
        <v>55.01</v>
      </c>
      <c r="C100" s="8">
        <v>57.14</v>
      </c>
      <c r="D100" s="8">
        <v>57.14</v>
      </c>
      <c r="E100" s="8">
        <f t="shared" si="11"/>
        <v>1</v>
      </c>
      <c r="F100" s="8">
        <f t="shared" si="12"/>
        <v>0.02</v>
      </c>
      <c r="H100" s="8">
        <v>55.01</v>
      </c>
      <c r="I100" s="9">
        <f t="shared" si="13"/>
        <v>-2.0720000000000098</v>
      </c>
      <c r="J100" s="9">
        <f t="shared" si="14"/>
        <v>4.293184000000041</v>
      </c>
    </row>
    <row r="101" spans="2:10" x14ac:dyDescent="0.25">
      <c r="B101" s="8">
        <v>54.16</v>
      </c>
      <c r="C101" s="8">
        <v>57.16</v>
      </c>
      <c r="D101" s="8">
        <v>57.16</v>
      </c>
      <c r="E101" s="8">
        <f t="shared" si="11"/>
        <v>1</v>
      </c>
      <c r="F101" s="8">
        <f t="shared" si="12"/>
        <v>0.02</v>
      </c>
      <c r="H101" s="8">
        <v>54.16</v>
      </c>
      <c r="I101" s="9">
        <f t="shared" si="13"/>
        <v>-2.9220000000000113</v>
      </c>
      <c r="J101" s="9">
        <f t="shared" si="14"/>
        <v>8.5380840000000653</v>
      </c>
    </row>
    <row r="102" spans="2:10" x14ac:dyDescent="0.25">
      <c r="B102" s="8">
        <v>45.43</v>
      </c>
      <c r="C102" s="8">
        <v>57.2</v>
      </c>
      <c r="D102" s="8">
        <v>57.2</v>
      </c>
      <c r="E102" s="8">
        <f t="shared" si="11"/>
        <v>1</v>
      </c>
      <c r="F102" s="8">
        <f t="shared" si="12"/>
        <v>0.02</v>
      </c>
      <c r="H102" s="8">
        <v>45.43</v>
      </c>
      <c r="I102" s="9">
        <f t="shared" si="13"/>
        <v>-11.652000000000008</v>
      </c>
      <c r="J102" s="9">
        <f t="shared" si="14"/>
        <v>135.7691040000002</v>
      </c>
    </row>
    <row r="103" spans="2:10" x14ac:dyDescent="0.25">
      <c r="B103" s="8">
        <v>46.37</v>
      </c>
      <c r="C103" s="8">
        <v>58.1</v>
      </c>
      <c r="D103" s="8">
        <v>58.1</v>
      </c>
      <c r="E103" s="8">
        <f t="shared" si="11"/>
        <v>1</v>
      </c>
      <c r="F103" s="8">
        <f t="shared" si="12"/>
        <v>0.02</v>
      </c>
      <c r="H103" s="8">
        <v>46.37</v>
      </c>
      <c r="I103" s="9">
        <f t="shared" si="13"/>
        <v>-10.71200000000001</v>
      </c>
      <c r="J103" s="9">
        <f t="shared" si="14"/>
        <v>114.74694400000023</v>
      </c>
    </row>
    <row r="104" spans="2:10" x14ac:dyDescent="0.25">
      <c r="B104" s="8">
        <v>57.14</v>
      </c>
      <c r="C104" s="8">
        <v>58.14</v>
      </c>
      <c r="D104" s="8">
        <v>58.14</v>
      </c>
      <c r="E104" s="8">
        <f t="shared" si="11"/>
        <v>1</v>
      </c>
      <c r="F104" s="8">
        <f t="shared" si="12"/>
        <v>0.02</v>
      </c>
      <c r="H104" s="8">
        <v>57.14</v>
      </c>
      <c r="I104" s="9">
        <f t="shared" si="13"/>
        <v>5.7999999999992724E-2</v>
      </c>
      <c r="J104" s="9">
        <f t="shared" si="14"/>
        <v>3.3639999999991559E-3</v>
      </c>
    </row>
    <row r="105" spans="2:10" x14ac:dyDescent="0.25">
      <c r="B105" s="8">
        <v>74.13</v>
      </c>
      <c r="C105" s="8">
        <v>58.19</v>
      </c>
      <c r="D105" s="8">
        <v>58.19</v>
      </c>
      <c r="E105" s="8">
        <f t="shared" si="11"/>
        <v>1</v>
      </c>
      <c r="F105" s="8">
        <f t="shared" si="12"/>
        <v>0.02</v>
      </c>
      <c r="H105" s="8">
        <v>74.13</v>
      </c>
      <c r="I105" s="9">
        <f t="shared" si="13"/>
        <v>17.047999999999988</v>
      </c>
      <c r="J105" s="9">
        <f t="shared" si="14"/>
        <v>290.63430399999959</v>
      </c>
    </row>
    <row r="106" spans="2:10" x14ac:dyDescent="0.25">
      <c r="B106" s="8">
        <v>52.59</v>
      </c>
      <c r="C106" s="8">
        <v>58.32</v>
      </c>
      <c r="D106" s="8">
        <v>58.32</v>
      </c>
      <c r="E106" s="8">
        <f t="shared" si="11"/>
        <v>1</v>
      </c>
      <c r="F106" s="8">
        <f t="shared" si="12"/>
        <v>0.02</v>
      </c>
      <c r="H106" s="8">
        <v>52.59</v>
      </c>
      <c r="I106" s="9">
        <f t="shared" si="13"/>
        <v>-4.4920000000000044</v>
      </c>
      <c r="J106" s="9">
        <f t="shared" si="14"/>
        <v>20.178064000000038</v>
      </c>
    </row>
    <row r="107" spans="2:10" x14ac:dyDescent="0.25">
      <c r="B107" s="8">
        <v>59.46</v>
      </c>
      <c r="C107" s="8">
        <v>58.63</v>
      </c>
      <c r="D107" s="8">
        <v>58.63</v>
      </c>
      <c r="E107" s="8">
        <f t="shared" si="11"/>
        <v>1</v>
      </c>
      <c r="F107" s="8">
        <f t="shared" si="12"/>
        <v>0.02</v>
      </c>
      <c r="H107" s="8">
        <v>59.46</v>
      </c>
      <c r="I107" s="9">
        <f t="shared" si="13"/>
        <v>2.377999999999993</v>
      </c>
      <c r="J107" s="9">
        <f t="shared" si="14"/>
        <v>5.6548839999999672</v>
      </c>
    </row>
    <row r="108" spans="2:10" x14ac:dyDescent="0.25">
      <c r="B108" s="8">
        <v>60.08</v>
      </c>
      <c r="C108" s="8">
        <v>58.7</v>
      </c>
      <c r="D108" s="8">
        <v>58.7</v>
      </c>
      <c r="E108" s="8">
        <f t="shared" si="11"/>
        <v>1</v>
      </c>
      <c r="F108" s="8">
        <f t="shared" si="12"/>
        <v>0.02</v>
      </c>
      <c r="H108" s="8">
        <v>60.08</v>
      </c>
      <c r="I108" s="9">
        <f t="shared" si="13"/>
        <v>2.9979999999999905</v>
      </c>
      <c r="J108" s="9">
        <f t="shared" ref="J108:J127" si="15">I108^2</f>
        <v>8.9880039999999433</v>
      </c>
    </row>
    <row r="109" spans="2:10" x14ac:dyDescent="0.25">
      <c r="B109" s="8">
        <v>58.1</v>
      </c>
      <c r="C109" s="8">
        <v>58.76</v>
      </c>
      <c r="D109" s="8">
        <v>58.76</v>
      </c>
      <c r="E109" s="8">
        <f t="shared" si="11"/>
        <v>1</v>
      </c>
      <c r="F109" s="8">
        <f t="shared" si="12"/>
        <v>0.02</v>
      </c>
      <c r="H109" s="8">
        <v>58.1</v>
      </c>
      <c r="I109" s="9">
        <f t="shared" si="13"/>
        <v>1.0179999999999936</v>
      </c>
      <c r="J109" s="9">
        <f t="shared" si="15"/>
        <v>1.0363239999999869</v>
      </c>
    </row>
    <row r="110" spans="2:10" x14ac:dyDescent="0.25">
      <c r="B110" s="8">
        <v>68.81</v>
      </c>
      <c r="C110" s="8">
        <v>59.17</v>
      </c>
      <c r="D110" s="8">
        <v>59.17</v>
      </c>
      <c r="E110" s="8">
        <f t="shared" si="11"/>
        <v>1</v>
      </c>
      <c r="F110" s="8">
        <f t="shared" si="12"/>
        <v>0.02</v>
      </c>
      <c r="H110" s="8">
        <v>68.81</v>
      </c>
      <c r="I110" s="9">
        <f t="shared" si="13"/>
        <v>11.727999999999994</v>
      </c>
      <c r="J110" s="9">
        <f t="shared" si="15"/>
        <v>137.54598399999986</v>
      </c>
    </row>
    <row r="111" spans="2:10" x14ac:dyDescent="0.25">
      <c r="B111" s="8">
        <v>65.069999999999993</v>
      </c>
      <c r="C111" s="8">
        <v>59.46</v>
      </c>
      <c r="D111" s="8">
        <v>59.46</v>
      </c>
      <c r="E111" s="8">
        <f t="shared" si="11"/>
        <v>1</v>
      </c>
      <c r="F111" s="8">
        <f t="shared" si="12"/>
        <v>0.02</v>
      </c>
      <c r="H111" s="8">
        <v>65.069999999999993</v>
      </c>
      <c r="I111" s="9">
        <f t="shared" si="13"/>
        <v>7.9879999999999853</v>
      </c>
      <c r="J111" s="9">
        <f t="shared" si="15"/>
        <v>63.808143999999764</v>
      </c>
    </row>
    <row r="112" spans="2:10" x14ac:dyDescent="0.25">
      <c r="B112" s="8">
        <v>57.2</v>
      </c>
      <c r="C112" s="8">
        <v>59.62</v>
      </c>
      <c r="D112" s="8">
        <v>59.62</v>
      </c>
      <c r="E112" s="8">
        <f t="shared" si="11"/>
        <v>1</v>
      </c>
      <c r="F112" s="8">
        <f t="shared" si="12"/>
        <v>0.02</v>
      </c>
      <c r="H112" s="8">
        <v>57.2</v>
      </c>
      <c r="I112" s="9">
        <f t="shared" si="13"/>
        <v>0.117999999999995</v>
      </c>
      <c r="J112" s="9">
        <f t="shared" si="15"/>
        <v>1.3923999999998819E-2</v>
      </c>
    </row>
    <row r="113" spans="2:12" x14ac:dyDescent="0.25">
      <c r="B113" s="8">
        <v>47.16</v>
      </c>
      <c r="C113" s="8">
        <v>60.08</v>
      </c>
      <c r="D113" s="8">
        <v>60.08</v>
      </c>
      <c r="E113" s="8">
        <f t="shared" si="11"/>
        <v>1</v>
      </c>
      <c r="F113" s="8">
        <f t="shared" si="12"/>
        <v>0.02</v>
      </c>
      <c r="H113" s="8">
        <v>47.16</v>
      </c>
      <c r="I113" s="9">
        <f t="shared" si="13"/>
        <v>-9.9220000000000113</v>
      </c>
      <c r="J113" s="9">
        <f t="shared" si="15"/>
        <v>98.446084000000226</v>
      </c>
    </row>
    <row r="114" spans="2:12" x14ac:dyDescent="0.25">
      <c r="B114" s="8">
        <v>58.63</v>
      </c>
      <c r="C114" s="8">
        <v>60.32</v>
      </c>
      <c r="D114" s="8">
        <v>60.32</v>
      </c>
      <c r="E114" s="8">
        <f t="shared" si="11"/>
        <v>1</v>
      </c>
      <c r="F114" s="8">
        <f t="shared" si="12"/>
        <v>0.02</v>
      </c>
      <c r="H114" s="8">
        <v>58.63</v>
      </c>
      <c r="I114" s="9">
        <f t="shared" si="13"/>
        <v>1.5479999999999947</v>
      </c>
      <c r="J114" s="9">
        <f t="shared" si="15"/>
        <v>2.3963039999999838</v>
      </c>
    </row>
    <row r="115" spans="2:12" x14ac:dyDescent="0.25">
      <c r="B115" s="8">
        <v>62.38</v>
      </c>
      <c r="C115" s="8">
        <v>60.37</v>
      </c>
      <c r="D115" s="8">
        <v>60.37</v>
      </c>
      <c r="E115" s="8">
        <f t="shared" si="11"/>
        <v>1</v>
      </c>
      <c r="F115" s="8">
        <f t="shared" si="12"/>
        <v>0.02</v>
      </c>
      <c r="H115" s="8">
        <v>62.38</v>
      </c>
      <c r="I115" s="9">
        <f t="shared" si="13"/>
        <v>5.2979999999999947</v>
      </c>
      <c r="J115" s="9">
        <f t="shared" si="15"/>
        <v>28.068803999999943</v>
      </c>
    </row>
    <row r="116" spans="2:12" x14ac:dyDescent="0.25">
      <c r="B116" s="8">
        <v>42.73</v>
      </c>
      <c r="C116" s="8">
        <v>62.3</v>
      </c>
      <c r="D116" s="8">
        <v>62.3</v>
      </c>
      <c r="E116" s="8">
        <f t="shared" si="11"/>
        <v>1</v>
      </c>
      <c r="F116" s="8">
        <f t="shared" si="12"/>
        <v>0.02</v>
      </c>
      <c r="H116" s="8">
        <v>42.73</v>
      </c>
      <c r="I116" s="9">
        <f t="shared" si="13"/>
        <v>-14.352000000000011</v>
      </c>
      <c r="J116" s="9">
        <f t="shared" si="15"/>
        <v>205.97990400000032</v>
      </c>
    </row>
    <row r="117" spans="2:12" x14ac:dyDescent="0.25">
      <c r="B117" s="8">
        <v>57.16</v>
      </c>
      <c r="C117" s="8">
        <v>62.38</v>
      </c>
      <c r="D117" s="8">
        <v>62.38</v>
      </c>
      <c r="E117" s="8">
        <f t="shared" si="11"/>
        <v>1</v>
      </c>
      <c r="F117" s="8">
        <f t="shared" si="12"/>
        <v>0.02</v>
      </c>
      <c r="H117" s="8">
        <v>57.16</v>
      </c>
      <c r="I117" s="9">
        <f t="shared" si="13"/>
        <v>7.7999999999988745E-2</v>
      </c>
      <c r="J117" s="9">
        <f t="shared" si="15"/>
        <v>6.0839999999982445E-3</v>
      </c>
    </row>
    <row r="118" spans="2:12" x14ac:dyDescent="0.25">
      <c r="B118" s="8">
        <v>49.16</v>
      </c>
      <c r="C118" s="8">
        <v>63.51</v>
      </c>
      <c r="D118" s="8">
        <v>63.51</v>
      </c>
      <c r="E118" s="8">
        <f t="shared" si="11"/>
        <v>1</v>
      </c>
      <c r="F118" s="8">
        <f t="shared" si="12"/>
        <v>0.02</v>
      </c>
      <c r="H118" s="8">
        <v>49.16</v>
      </c>
      <c r="I118" s="9">
        <f t="shared" si="13"/>
        <v>-7.9220000000000113</v>
      </c>
      <c r="J118" s="9">
        <f t="shared" si="15"/>
        <v>62.758084000000181</v>
      </c>
      <c r="L118" s="27"/>
    </row>
    <row r="119" spans="2:12" x14ac:dyDescent="0.25">
      <c r="B119" s="8">
        <v>71.28</v>
      </c>
      <c r="C119" s="8">
        <v>64</v>
      </c>
      <c r="D119" s="8">
        <v>64</v>
      </c>
      <c r="E119" s="8">
        <f t="shared" si="11"/>
        <v>1</v>
      </c>
      <c r="F119" s="8">
        <f t="shared" si="12"/>
        <v>0.02</v>
      </c>
      <c r="H119" s="8">
        <v>71.28</v>
      </c>
      <c r="I119" s="9">
        <f t="shared" si="13"/>
        <v>14.197999999999993</v>
      </c>
      <c r="J119" s="9">
        <f t="shared" si="15"/>
        <v>201.5832039999998</v>
      </c>
    </row>
    <row r="120" spans="2:12" x14ac:dyDescent="0.25">
      <c r="B120" s="8">
        <v>58.7</v>
      </c>
      <c r="C120" s="8">
        <v>65.069999999999993</v>
      </c>
      <c r="D120" s="8">
        <v>65.069999999999993</v>
      </c>
      <c r="E120" s="8">
        <f t="shared" si="11"/>
        <v>1</v>
      </c>
      <c r="F120" s="8">
        <f t="shared" si="12"/>
        <v>0.02</v>
      </c>
      <c r="H120" s="8">
        <v>58.7</v>
      </c>
      <c r="I120" s="9">
        <f t="shared" si="13"/>
        <v>1.617999999999995</v>
      </c>
      <c r="J120" s="9">
        <f t="shared" si="15"/>
        <v>2.6179239999999839</v>
      </c>
    </row>
    <row r="121" spans="2:12" x14ac:dyDescent="0.25">
      <c r="B121" s="8">
        <v>48.09</v>
      </c>
      <c r="C121" s="8">
        <v>66.94</v>
      </c>
      <c r="D121" s="8">
        <v>66.94</v>
      </c>
      <c r="E121" s="8">
        <f t="shared" si="11"/>
        <v>1</v>
      </c>
      <c r="F121" s="8">
        <f t="shared" si="12"/>
        <v>0.02</v>
      </c>
      <c r="H121" s="8">
        <v>48.09</v>
      </c>
      <c r="I121" s="9">
        <f t="shared" si="13"/>
        <v>-8.9920000000000044</v>
      </c>
      <c r="J121" s="9">
        <f t="shared" si="15"/>
        <v>80.856064000000075</v>
      </c>
    </row>
    <row r="122" spans="2:12" x14ac:dyDescent="0.25">
      <c r="B122" s="8">
        <v>62.3</v>
      </c>
      <c r="C122" s="8">
        <v>67.08</v>
      </c>
      <c r="D122" s="8">
        <v>67.08</v>
      </c>
      <c r="E122" s="8">
        <f t="shared" si="11"/>
        <v>1</v>
      </c>
      <c r="F122" s="8">
        <f t="shared" si="12"/>
        <v>0.02</v>
      </c>
      <c r="H122" s="8">
        <v>62.3</v>
      </c>
      <c r="I122" s="9">
        <f t="shared" si="13"/>
        <v>5.2179999999999893</v>
      </c>
      <c r="J122" s="9">
        <f t="shared" si="15"/>
        <v>27.227523999999889</v>
      </c>
    </row>
    <row r="123" spans="2:12" x14ac:dyDescent="0.25">
      <c r="B123" s="8">
        <v>63.51</v>
      </c>
      <c r="C123" s="8">
        <v>68.81</v>
      </c>
      <c r="D123" s="8">
        <v>68.81</v>
      </c>
      <c r="E123" s="8">
        <f t="shared" si="11"/>
        <v>1</v>
      </c>
      <c r="F123" s="8">
        <f t="shared" si="12"/>
        <v>0.02</v>
      </c>
      <c r="H123" s="8">
        <v>63.51</v>
      </c>
      <c r="I123" s="9">
        <f t="shared" si="13"/>
        <v>6.4279999999999902</v>
      </c>
      <c r="J123" s="9">
        <f t="shared" si="15"/>
        <v>41.319183999999872</v>
      </c>
    </row>
    <row r="124" spans="2:12" x14ac:dyDescent="0.25">
      <c r="B124" s="8">
        <v>55.14</v>
      </c>
      <c r="C124" s="8">
        <v>69.48</v>
      </c>
      <c r="D124" s="8">
        <v>69.48</v>
      </c>
      <c r="E124" s="8">
        <f t="shared" si="11"/>
        <v>1</v>
      </c>
      <c r="F124" s="8">
        <f t="shared" si="12"/>
        <v>0.02</v>
      </c>
      <c r="H124" s="8">
        <v>55.14</v>
      </c>
      <c r="I124" s="9">
        <f t="shared" si="13"/>
        <v>-1.9420000000000073</v>
      </c>
      <c r="J124" s="9">
        <f t="shared" si="15"/>
        <v>3.7713640000000281</v>
      </c>
    </row>
    <row r="125" spans="2:12" x14ac:dyDescent="0.25">
      <c r="B125" s="8">
        <v>51.15</v>
      </c>
      <c r="C125" s="8">
        <v>70.89</v>
      </c>
      <c r="D125" s="8">
        <v>70.89</v>
      </c>
      <c r="E125" s="8">
        <f t="shared" si="11"/>
        <v>1</v>
      </c>
      <c r="F125" s="8">
        <f t="shared" si="12"/>
        <v>0.02</v>
      </c>
      <c r="H125" s="8">
        <v>51.15</v>
      </c>
      <c r="I125" s="9">
        <f t="shared" si="13"/>
        <v>-5.9320000000000093</v>
      </c>
      <c r="J125" s="9">
        <f t="shared" si="15"/>
        <v>35.188624000000111</v>
      </c>
    </row>
    <row r="126" spans="2:12" x14ac:dyDescent="0.25">
      <c r="B126" s="8">
        <v>60.32</v>
      </c>
      <c r="C126" s="8">
        <v>71.28</v>
      </c>
      <c r="D126" s="8">
        <v>71.28</v>
      </c>
      <c r="E126" s="8">
        <f t="shared" si="11"/>
        <v>1</v>
      </c>
      <c r="F126" s="8">
        <f t="shared" si="12"/>
        <v>0.02</v>
      </c>
      <c r="H126" s="8">
        <v>60.32</v>
      </c>
      <c r="I126" s="9">
        <f t="shared" si="13"/>
        <v>3.2379999999999924</v>
      </c>
      <c r="J126" s="9">
        <f t="shared" si="15"/>
        <v>10.484643999999951</v>
      </c>
    </row>
    <row r="127" spans="2:12" x14ac:dyDescent="0.25">
      <c r="B127" s="8">
        <v>58.19</v>
      </c>
      <c r="C127" s="8">
        <v>74.13</v>
      </c>
      <c r="D127" s="8">
        <v>74.13</v>
      </c>
      <c r="E127" s="8">
        <f t="shared" si="11"/>
        <v>1</v>
      </c>
      <c r="F127" s="8">
        <f t="shared" si="12"/>
        <v>0.02</v>
      </c>
      <c r="H127" s="8">
        <v>58.19</v>
      </c>
      <c r="I127" s="9">
        <f t="shared" si="13"/>
        <v>1.1079999999999899</v>
      </c>
      <c r="J127" s="9">
        <f t="shared" si="15"/>
        <v>1.2276639999999777</v>
      </c>
    </row>
    <row r="128" spans="2:12" x14ac:dyDescent="0.25">
      <c r="D128" s="20" t="s">
        <v>22</v>
      </c>
      <c r="E128" s="21">
        <f>SUM(E78:E127)</f>
        <v>50</v>
      </c>
      <c r="F128" s="21">
        <f>SUM(F78:F127)</f>
        <v>1.0000000000000004</v>
      </c>
      <c r="I128" s="11" t="s">
        <v>49</v>
      </c>
      <c r="J128" s="9">
        <f>SUM(J78:J127)</f>
        <v>2756.7521800000004</v>
      </c>
    </row>
    <row r="129" spans="2:16" x14ac:dyDescent="0.25">
      <c r="I129" s="11" t="s">
        <v>87</v>
      </c>
      <c r="J129" s="28">
        <f>J128/E128</f>
        <v>55.13504360000001</v>
      </c>
    </row>
    <row r="131" spans="2:16" x14ac:dyDescent="0.25">
      <c r="J131" s="152" t="s">
        <v>61</v>
      </c>
      <c r="K131" s="153"/>
      <c r="L131" s="18" t="s">
        <v>62</v>
      </c>
    </row>
    <row r="132" spans="2:16" x14ac:dyDescent="0.25">
      <c r="B132" s="6" t="s">
        <v>83</v>
      </c>
      <c r="C132" s="6" t="s">
        <v>27</v>
      </c>
      <c r="E132" s="152" t="s">
        <v>51</v>
      </c>
      <c r="F132" s="155"/>
      <c r="G132" s="153"/>
      <c r="I132" s="11" t="s">
        <v>57</v>
      </c>
      <c r="J132" s="11" t="s">
        <v>58</v>
      </c>
      <c r="K132" s="11" t="s">
        <v>59</v>
      </c>
      <c r="L132" s="18" t="s">
        <v>60</v>
      </c>
      <c r="M132" s="11" t="s">
        <v>63</v>
      </c>
      <c r="N132" s="11" t="s">
        <v>64</v>
      </c>
      <c r="O132" s="11" t="s">
        <v>65</v>
      </c>
      <c r="P132" s="11" t="s">
        <v>64</v>
      </c>
    </row>
    <row r="133" spans="2:16" x14ac:dyDescent="0.25">
      <c r="B133" s="8">
        <v>57.1</v>
      </c>
      <c r="C133" s="8">
        <v>42.73</v>
      </c>
      <c r="E133" s="12" t="s">
        <v>52</v>
      </c>
      <c r="F133" s="12"/>
      <c r="G133" s="12">
        <f>COUNT(B133:B182)</f>
        <v>50</v>
      </c>
      <c r="I133" s="12">
        <v>1</v>
      </c>
      <c r="J133" s="25">
        <f>C133</f>
        <v>42.73</v>
      </c>
      <c r="K133" s="25">
        <f>J133+$G$138</f>
        <v>45.48</v>
      </c>
      <c r="L133" s="16">
        <f>(J133+K133)/2</f>
        <v>44.104999999999997</v>
      </c>
      <c r="M133" s="12">
        <f t="array" ref="M133:M143">FREQUENCY(B133:B182,K133:K143)</f>
        <v>2</v>
      </c>
      <c r="N133" s="12">
        <f>M133</f>
        <v>2</v>
      </c>
      <c r="O133" s="17">
        <f>M133/$G$133</f>
        <v>0.04</v>
      </c>
      <c r="P133" s="17">
        <f>O133</f>
        <v>0.04</v>
      </c>
    </row>
    <row r="134" spans="2:16" x14ac:dyDescent="0.25">
      <c r="B134" s="8">
        <v>56.17</v>
      </c>
      <c r="C134" s="8">
        <v>45.43</v>
      </c>
      <c r="E134" s="12" t="s">
        <v>53</v>
      </c>
      <c r="F134" s="12"/>
      <c r="G134" s="12">
        <f>MAX(B133:B182)</f>
        <v>74.13</v>
      </c>
      <c r="I134" s="12">
        <v>2</v>
      </c>
      <c r="J134" s="25">
        <f t="shared" ref="J134:J143" si="16">K133+1</f>
        <v>46.48</v>
      </c>
      <c r="K134" s="25">
        <f t="shared" ref="K134:K143" si="17">J134+$G$138</f>
        <v>49.23</v>
      </c>
      <c r="L134" s="16">
        <f t="shared" ref="L134:L139" si="18">(J134+K134)/2</f>
        <v>47.854999999999997</v>
      </c>
      <c r="M134" s="12">
        <v>8</v>
      </c>
      <c r="N134" s="12">
        <f t="shared" ref="N134:N143" si="19">N133+M134</f>
        <v>10</v>
      </c>
      <c r="O134" s="17">
        <f t="shared" ref="O134:O143" si="20">M134/$G$133</f>
        <v>0.16</v>
      </c>
      <c r="P134" s="17">
        <f t="shared" ref="P134:P143" si="21">P133+O134</f>
        <v>0.2</v>
      </c>
    </row>
    <row r="135" spans="2:16" x14ac:dyDescent="0.25">
      <c r="B135" s="8">
        <v>50.25</v>
      </c>
      <c r="C135" s="8">
        <v>46.02</v>
      </c>
      <c r="E135" s="12" t="s">
        <v>54</v>
      </c>
      <c r="F135" s="12"/>
      <c r="G135" s="12">
        <f>MIN(B133:B182)</f>
        <v>42.73</v>
      </c>
      <c r="I135" s="12">
        <v>3</v>
      </c>
      <c r="J135" s="25">
        <f t="shared" si="16"/>
        <v>50.23</v>
      </c>
      <c r="K135" s="25">
        <f t="shared" si="17"/>
        <v>52.98</v>
      </c>
      <c r="L135" s="16">
        <f t="shared" si="18"/>
        <v>51.604999999999997</v>
      </c>
      <c r="M135" s="12">
        <v>6</v>
      </c>
      <c r="N135" s="12">
        <f t="shared" si="19"/>
        <v>16</v>
      </c>
      <c r="O135" s="17">
        <f t="shared" si="20"/>
        <v>0.12</v>
      </c>
      <c r="P135" s="17">
        <f t="shared" si="21"/>
        <v>0.32</v>
      </c>
    </row>
    <row r="136" spans="2:16" x14ac:dyDescent="0.25">
      <c r="B136" s="8">
        <v>69.48</v>
      </c>
      <c r="C136" s="8">
        <v>46.37</v>
      </c>
      <c r="E136" s="12" t="s">
        <v>25</v>
      </c>
      <c r="F136" s="12"/>
      <c r="G136" s="12">
        <f>C182-C133</f>
        <v>31.4</v>
      </c>
      <c r="I136" s="12">
        <v>4</v>
      </c>
      <c r="J136" s="25">
        <f t="shared" si="16"/>
        <v>53.98</v>
      </c>
      <c r="K136" s="25">
        <f t="shared" si="17"/>
        <v>56.73</v>
      </c>
      <c r="L136" s="16">
        <f t="shared" si="18"/>
        <v>55.354999999999997</v>
      </c>
      <c r="M136" s="12">
        <v>5</v>
      </c>
      <c r="N136" s="12">
        <f t="shared" si="19"/>
        <v>21</v>
      </c>
      <c r="O136" s="17">
        <f t="shared" si="20"/>
        <v>0.1</v>
      </c>
      <c r="P136" s="17">
        <f t="shared" si="21"/>
        <v>0.42000000000000004</v>
      </c>
    </row>
    <row r="137" spans="2:16" x14ac:dyDescent="0.25">
      <c r="B137" s="8">
        <v>58.32</v>
      </c>
      <c r="C137" s="8">
        <v>46.39</v>
      </c>
      <c r="E137" s="12" t="s">
        <v>55</v>
      </c>
      <c r="F137" s="12"/>
      <c r="G137" s="12">
        <f>G136/G138</f>
        <v>11.418181818181818</v>
      </c>
      <c r="I137" s="12">
        <v>5</v>
      </c>
      <c r="J137" s="25">
        <f t="shared" si="16"/>
        <v>57.73</v>
      </c>
      <c r="K137" s="25">
        <f t="shared" si="17"/>
        <v>60.48</v>
      </c>
      <c r="L137" s="16">
        <f t="shared" si="18"/>
        <v>59.104999999999997</v>
      </c>
      <c r="M137" s="12">
        <v>17</v>
      </c>
      <c r="N137" s="12">
        <f t="shared" si="19"/>
        <v>38</v>
      </c>
      <c r="O137" s="17">
        <f t="shared" si="20"/>
        <v>0.34</v>
      </c>
      <c r="P137" s="17">
        <f t="shared" si="21"/>
        <v>0.76</v>
      </c>
    </row>
    <row r="138" spans="2:16" x14ac:dyDescent="0.25">
      <c r="B138" s="8">
        <v>51.42</v>
      </c>
      <c r="C138" s="8">
        <v>47.16</v>
      </c>
      <c r="E138" s="12" t="s">
        <v>56</v>
      </c>
      <c r="F138" s="12"/>
      <c r="G138" s="26">
        <v>2.75</v>
      </c>
      <c r="I138" s="12">
        <v>6</v>
      </c>
      <c r="J138" s="25">
        <f t="shared" si="16"/>
        <v>61.48</v>
      </c>
      <c r="K138" s="25">
        <f t="shared" si="17"/>
        <v>64.22999999999999</v>
      </c>
      <c r="L138" s="16">
        <f t="shared" si="18"/>
        <v>62.85499999999999</v>
      </c>
      <c r="M138" s="12">
        <v>4</v>
      </c>
      <c r="N138" s="12">
        <f t="shared" si="19"/>
        <v>42</v>
      </c>
      <c r="O138" s="17">
        <f t="shared" si="20"/>
        <v>0.08</v>
      </c>
      <c r="P138" s="17">
        <f t="shared" si="21"/>
        <v>0.84</v>
      </c>
    </row>
    <row r="139" spans="2:16" x14ac:dyDescent="0.25">
      <c r="B139" s="8">
        <v>55.45</v>
      </c>
      <c r="C139" s="8">
        <v>47.75</v>
      </c>
      <c r="I139" s="12">
        <v>7</v>
      </c>
      <c r="J139" s="25">
        <f t="shared" si="16"/>
        <v>65.22999999999999</v>
      </c>
      <c r="K139" s="25">
        <f t="shared" si="17"/>
        <v>67.97999999999999</v>
      </c>
      <c r="L139" s="16">
        <f t="shared" si="18"/>
        <v>66.60499999999999</v>
      </c>
      <c r="M139" s="12">
        <v>3</v>
      </c>
      <c r="N139" s="12">
        <f t="shared" si="19"/>
        <v>45</v>
      </c>
      <c r="O139" s="17">
        <f t="shared" si="20"/>
        <v>0.06</v>
      </c>
      <c r="P139" s="17">
        <f t="shared" si="21"/>
        <v>0.89999999999999991</v>
      </c>
    </row>
    <row r="140" spans="2:16" x14ac:dyDescent="0.25">
      <c r="B140" s="8">
        <v>60.37</v>
      </c>
      <c r="C140" s="8">
        <v>48.09</v>
      </c>
      <c r="I140" s="12">
        <v>8</v>
      </c>
      <c r="J140" s="25">
        <f t="shared" si="16"/>
        <v>68.97999999999999</v>
      </c>
      <c r="K140" s="25">
        <f t="shared" si="17"/>
        <v>71.72999999999999</v>
      </c>
      <c r="L140" s="16">
        <f>(J140+K140)/2</f>
        <v>70.35499999999999</v>
      </c>
      <c r="M140" s="12">
        <v>4</v>
      </c>
      <c r="N140" s="12">
        <f t="shared" si="19"/>
        <v>49</v>
      </c>
      <c r="O140" s="17">
        <f t="shared" si="20"/>
        <v>0.08</v>
      </c>
      <c r="P140" s="17">
        <f t="shared" si="21"/>
        <v>0.97999999999999987</v>
      </c>
    </row>
    <row r="141" spans="2:16" x14ac:dyDescent="0.25">
      <c r="B141" s="8">
        <v>64</v>
      </c>
      <c r="C141" s="8">
        <v>48.1</v>
      </c>
      <c r="I141" s="12">
        <v>9</v>
      </c>
      <c r="J141" s="25">
        <f t="shared" si="16"/>
        <v>72.72999999999999</v>
      </c>
      <c r="K141" s="25">
        <f t="shared" si="17"/>
        <v>75.47999999999999</v>
      </c>
      <c r="L141" s="16">
        <f>(J141+K141)/2</f>
        <v>74.10499999999999</v>
      </c>
      <c r="M141" s="12">
        <v>1</v>
      </c>
      <c r="N141" s="12">
        <f t="shared" si="19"/>
        <v>50</v>
      </c>
      <c r="O141" s="17">
        <f t="shared" si="20"/>
        <v>0.02</v>
      </c>
      <c r="P141" s="17">
        <f t="shared" si="21"/>
        <v>0.99999999999999989</v>
      </c>
    </row>
    <row r="142" spans="2:16" x14ac:dyDescent="0.25">
      <c r="B142" s="8">
        <v>48.1</v>
      </c>
      <c r="C142" s="8">
        <v>49.16</v>
      </c>
      <c r="I142" s="12">
        <v>10</v>
      </c>
      <c r="J142" s="25">
        <f t="shared" si="16"/>
        <v>76.47999999999999</v>
      </c>
      <c r="K142" s="25">
        <f t="shared" si="17"/>
        <v>79.22999999999999</v>
      </c>
      <c r="L142" s="16">
        <f>(J142+K142)/2</f>
        <v>77.85499999999999</v>
      </c>
      <c r="M142" s="12">
        <v>0</v>
      </c>
      <c r="N142" s="12">
        <f t="shared" si="19"/>
        <v>50</v>
      </c>
      <c r="O142" s="17">
        <f t="shared" si="20"/>
        <v>0</v>
      </c>
      <c r="P142" s="17">
        <f t="shared" si="21"/>
        <v>0.99999999999999989</v>
      </c>
    </row>
    <row r="143" spans="2:16" x14ac:dyDescent="0.25">
      <c r="B143" s="8">
        <v>70.89</v>
      </c>
      <c r="C143" s="8">
        <v>50.25</v>
      </c>
      <c r="I143" s="12">
        <v>11</v>
      </c>
      <c r="J143" s="25">
        <f t="shared" si="16"/>
        <v>80.22999999999999</v>
      </c>
      <c r="K143" s="25">
        <f t="shared" si="17"/>
        <v>82.97999999999999</v>
      </c>
      <c r="L143" s="16">
        <f>(J143+K143)/2</f>
        <v>81.60499999999999</v>
      </c>
      <c r="M143" s="12">
        <v>0</v>
      </c>
      <c r="N143" s="12">
        <f t="shared" si="19"/>
        <v>50</v>
      </c>
      <c r="O143" s="17">
        <f t="shared" si="20"/>
        <v>0</v>
      </c>
      <c r="P143" s="17">
        <f t="shared" si="21"/>
        <v>0.99999999999999989</v>
      </c>
    </row>
    <row r="144" spans="2:16" x14ac:dyDescent="0.25">
      <c r="B144" s="8">
        <v>66.94</v>
      </c>
      <c r="C144" s="8">
        <v>50.82</v>
      </c>
    </row>
    <row r="145" spans="2:11" x14ac:dyDescent="0.25">
      <c r="B145" s="8">
        <v>46.39</v>
      </c>
      <c r="C145" s="8">
        <v>51.15</v>
      </c>
    </row>
    <row r="146" spans="2:11" x14ac:dyDescent="0.25">
      <c r="B146" s="8">
        <v>46.02</v>
      </c>
      <c r="C146" s="8">
        <v>51.42</v>
      </c>
    </row>
    <row r="147" spans="2:11" x14ac:dyDescent="0.25">
      <c r="B147" s="8">
        <v>50.82</v>
      </c>
      <c r="C147" s="8">
        <v>52.41</v>
      </c>
      <c r="I147" s="152" t="s">
        <v>66</v>
      </c>
      <c r="J147" s="153"/>
    </row>
    <row r="148" spans="2:11" x14ac:dyDescent="0.25">
      <c r="B148" s="8">
        <v>58.76</v>
      </c>
      <c r="C148" s="8">
        <v>52.59</v>
      </c>
      <c r="I148" s="18" t="s">
        <v>57</v>
      </c>
      <c r="J148" s="18" t="s">
        <v>67</v>
      </c>
      <c r="K148" s="18" t="s">
        <v>60</v>
      </c>
    </row>
    <row r="149" spans="2:11" x14ac:dyDescent="0.25">
      <c r="B149" s="8">
        <v>58.14</v>
      </c>
      <c r="C149" s="8">
        <v>54.16</v>
      </c>
      <c r="I149" s="15">
        <v>1</v>
      </c>
      <c r="J149" s="30" t="s">
        <v>88</v>
      </c>
      <c r="K149" s="16">
        <f t="shared" ref="K149:K155" si="22">L133</f>
        <v>44.104999999999997</v>
      </c>
    </row>
    <row r="150" spans="2:11" x14ac:dyDescent="0.25">
      <c r="B150" s="8">
        <v>52.41</v>
      </c>
      <c r="C150" s="8">
        <v>55.01</v>
      </c>
      <c r="I150" s="15">
        <v>2</v>
      </c>
      <c r="J150" s="30" t="s">
        <v>89</v>
      </c>
      <c r="K150" s="16">
        <f t="shared" si="22"/>
        <v>47.854999999999997</v>
      </c>
    </row>
    <row r="151" spans="2:11" x14ac:dyDescent="0.25">
      <c r="B151" s="8">
        <v>47.75</v>
      </c>
      <c r="C151" s="8">
        <v>55.14</v>
      </c>
      <c r="I151" s="15">
        <v>3</v>
      </c>
      <c r="J151" s="30" t="s">
        <v>90</v>
      </c>
      <c r="K151" s="16">
        <f t="shared" si="22"/>
        <v>51.604999999999997</v>
      </c>
    </row>
    <row r="152" spans="2:11" x14ac:dyDescent="0.25">
      <c r="B152" s="8">
        <v>59.62</v>
      </c>
      <c r="C152" s="8">
        <v>55.45</v>
      </c>
      <c r="I152" s="15">
        <v>4</v>
      </c>
      <c r="J152" s="30" t="s">
        <v>91</v>
      </c>
      <c r="K152" s="16">
        <f t="shared" si="22"/>
        <v>55.354999999999997</v>
      </c>
    </row>
    <row r="153" spans="2:11" x14ac:dyDescent="0.25">
      <c r="B153" s="8">
        <v>59.17</v>
      </c>
      <c r="C153" s="8">
        <v>56.17</v>
      </c>
      <c r="I153" s="15">
        <v>5</v>
      </c>
      <c r="J153" s="30" t="s">
        <v>92</v>
      </c>
      <c r="K153" s="16">
        <f t="shared" si="22"/>
        <v>59.104999999999997</v>
      </c>
    </row>
    <row r="154" spans="2:11" x14ac:dyDescent="0.25">
      <c r="B154" s="8">
        <v>67.08</v>
      </c>
      <c r="C154" s="8">
        <v>57.1</v>
      </c>
      <c r="I154" s="15">
        <v>6</v>
      </c>
      <c r="J154" s="30" t="s">
        <v>93</v>
      </c>
      <c r="K154" s="16">
        <f t="shared" si="22"/>
        <v>62.85499999999999</v>
      </c>
    </row>
    <row r="155" spans="2:11" x14ac:dyDescent="0.25">
      <c r="B155" s="8">
        <v>55.01</v>
      </c>
      <c r="C155" s="8">
        <v>57.14</v>
      </c>
      <c r="I155" s="15">
        <v>7</v>
      </c>
      <c r="J155" s="30" t="s">
        <v>94</v>
      </c>
      <c r="K155" s="16">
        <f t="shared" si="22"/>
        <v>66.60499999999999</v>
      </c>
    </row>
    <row r="156" spans="2:11" x14ac:dyDescent="0.25">
      <c r="B156" s="8">
        <v>54.16</v>
      </c>
      <c r="C156" s="8">
        <v>57.16</v>
      </c>
      <c r="I156" s="15">
        <v>8</v>
      </c>
      <c r="J156" s="30" t="s">
        <v>95</v>
      </c>
      <c r="K156" s="16">
        <f>L140</f>
        <v>70.35499999999999</v>
      </c>
    </row>
    <row r="157" spans="2:11" x14ac:dyDescent="0.25">
      <c r="B157" s="8">
        <v>45.43</v>
      </c>
      <c r="C157" s="8">
        <v>57.2</v>
      </c>
      <c r="I157" s="15">
        <v>9</v>
      </c>
      <c r="J157" s="30" t="s">
        <v>96</v>
      </c>
      <c r="K157" s="16">
        <f>L141</f>
        <v>74.10499999999999</v>
      </c>
    </row>
    <row r="158" spans="2:11" x14ac:dyDescent="0.25">
      <c r="B158" s="8">
        <v>46.37</v>
      </c>
      <c r="C158" s="8">
        <v>58.1</v>
      </c>
      <c r="I158" s="15">
        <v>10</v>
      </c>
      <c r="J158" s="30" t="s">
        <v>97</v>
      </c>
      <c r="K158" s="16">
        <f>L142</f>
        <v>77.85499999999999</v>
      </c>
    </row>
    <row r="159" spans="2:11" x14ac:dyDescent="0.25">
      <c r="B159" s="8">
        <v>57.14</v>
      </c>
      <c r="C159" s="8">
        <v>58.14</v>
      </c>
      <c r="I159" s="15">
        <v>11</v>
      </c>
      <c r="J159" s="30" t="s">
        <v>98</v>
      </c>
      <c r="K159" s="16">
        <f>L143</f>
        <v>81.60499999999999</v>
      </c>
    </row>
    <row r="160" spans="2:11" x14ac:dyDescent="0.25">
      <c r="B160" s="8">
        <v>74.13</v>
      </c>
      <c r="C160" s="8">
        <v>58.19</v>
      </c>
    </row>
    <row r="161" spans="2:3" x14ac:dyDescent="0.25">
      <c r="B161" s="8">
        <v>52.59</v>
      </c>
      <c r="C161" s="8">
        <v>58.32</v>
      </c>
    </row>
    <row r="162" spans="2:3" x14ac:dyDescent="0.25">
      <c r="B162" s="8">
        <v>59.46</v>
      </c>
      <c r="C162" s="8">
        <v>58.63</v>
      </c>
    </row>
    <row r="163" spans="2:3" x14ac:dyDescent="0.25">
      <c r="B163" s="8">
        <v>60.08</v>
      </c>
      <c r="C163" s="8">
        <v>58.7</v>
      </c>
    </row>
    <row r="164" spans="2:3" x14ac:dyDescent="0.25">
      <c r="B164" s="8">
        <v>58.1</v>
      </c>
      <c r="C164" s="8">
        <v>58.76</v>
      </c>
    </row>
    <row r="165" spans="2:3" x14ac:dyDescent="0.25">
      <c r="B165" s="8">
        <v>68.81</v>
      </c>
      <c r="C165" s="8">
        <v>59.17</v>
      </c>
    </row>
    <row r="166" spans="2:3" x14ac:dyDescent="0.25">
      <c r="B166" s="8">
        <v>65.069999999999993</v>
      </c>
      <c r="C166" s="8">
        <v>59.46</v>
      </c>
    </row>
    <row r="167" spans="2:3" x14ac:dyDescent="0.25">
      <c r="B167" s="8">
        <v>57.2</v>
      </c>
      <c r="C167" s="8">
        <v>59.62</v>
      </c>
    </row>
    <row r="168" spans="2:3" x14ac:dyDescent="0.25">
      <c r="B168" s="8">
        <v>47.16</v>
      </c>
      <c r="C168" s="8">
        <v>60.08</v>
      </c>
    </row>
    <row r="169" spans="2:3" x14ac:dyDescent="0.25">
      <c r="B169" s="8">
        <v>58.63</v>
      </c>
      <c r="C169" s="8">
        <v>60.32</v>
      </c>
    </row>
    <row r="170" spans="2:3" x14ac:dyDescent="0.25">
      <c r="B170" s="8">
        <v>62.38</v>
      </c>
      <c r="C170" s="8">
        <v>60.37</v>
      </c>
    </row>
    <row r="171" spans="2:3" x14ac:dyDescent="0.25">
      <c r="B171" s="8">
        <v>42.73</v>
      </c>
      <c r="C171" s="8">
        <v>62.3</v>
      </c>
    </row>
    <row r="172" spans="2:3" x14ac:dyDescent="0.25">
      <c r="B172" s="8">
        <v>57.16</v>
      </c>
      <c r="C172" s="8">
        <v>62.38</v>
      </c>
    </row>
    <row r="173" spans="2:3" x14ac:dyDescent="0.25">
      <c r="B173" s="8">
        <v>49.16</v>
      </c>
      <c r="C173" s="8">
        <v>63.51</v>
      </c>
    </row>
    <row r="174" spans="2:3" x14ac:dyDescent="0.25">
      <c r="B174" s="8">
        <v>71.28</v>
      </c>
      <c r="C174" s="8">
        <v>64</v>
      </c>
    </row>
    <row r="175" spans="2:3" x14ac:dyDescent="0.25">
      <c r="B175" s="8">
        <v>58.7</v>
      </c>
      <c r="C175" s="8">
        <v>65.069999999999993</v>
      </c>
    </row>
    <row r="176" spans="2:3" x14ac:dyDescent="0.25">
      <c r="B176" s="8">
        <v>48.09</v>
      </c>
      <c r="C176" s="8">
        <v>66.94</v>
      </c>
    </row>
    <row r="177" spans="2:17" x14ac:dyDescent="0.25">
      <c r="B177" s="8">
        <v>62.3</v>
      </c>
      <c r="C177" s="8">
        <v>67.08</v>
      </c>
    </row>
    <row r="178" spans="2:17" x14ac:dyDescent="0.25">
      <c r="B178" s="8">
        <v>63.51</v>
      </c>
      <c r="C178" s="8">
        <v>68.81</v>
      </c>
    </row>
    <row r="179" spans="2:17" x14ac:dyDescent="0.25">
      <c r="B179" s="8">
        <v>55.14</v>
      </c>
      <c r="C179" s="8">
        <v>69.48</v>
      </c>
    </row>
    <row r="180" spans="2:17" x14ac:dyDescent="0.25">
      <c r="B180" s="8">
        <v>51.15</v>
      </c>
      <c r="C180" s="8">
        <v>70.89</v>
      </c>
    </row>
    <row r="181" spans="2:17" x14ac:dyDescent="0.25">
      <c r="B181" s="8">
        <v>60.32</v>
      </c>
      <c r="C181" s="8">
        <v>71.28</v>
      </c>
    </row>
    <row r="182" spans="2:17" x14ac:dyDescent="0.25">
      <c r="B182" s="8">
        <v>58.19</v>
      </c>
      <c r="C182" s="8">
        <v>74.13</v>
      </c>
    </row>
    <row r="185" spans="2:17" ht="28.5" x14ac:dyDescent="0.45">
      <c r="B185" s="156" t="s">
        <v>84</v>
      </c>
      <c r="C185" s="156"/>
      <c r="D185" s="156"/>
      <c r="E185" s="156"/>
      <c r="F185" s="32"/>
    </row>
    <row r="187" spans="2:17" ht="15.75" thickBot="1" x14ac:dyDescent="0.3">
      <c r="B187" s="6" t="s">
        <v>85</v>
      </c>
      <c r="C187" s="6" t="s">
        <v>27</v>
      </c>
      <c r="D187" s="6" t="s">
        <v>28</v>
      </c>
      <c r="E187" s="6" t="s">
        <v>63</v>
      </c>
      <c r="F187" s="6" t="s">
        <v>65</v>
      </c>
      <c r="H187" s="7" t="s">
        <v>28</v>
      </c>
      <c r="I187" s="7" t="s">
        <v>30</v>
      </c>
      <c r="J187" s="7" t="s">
        <v>31</v>
      </c>
    </row>
    <row r="188" spans="2:17" x14ac:dyDescent="0.25">
      <c r="B188" s="8">
        <v>26.6</v>
      </c>
      <c r="C188" s="8">
        <v>25.8</v>
      </c>
      <c r="D188" s="8">
        <v>25.8</v>
      </c>
      <c r="E188" s="8">
        <f>COUNTIF($B$188:$B$227,D188)</f>
        <v>1</v>
      </c>
      <c r="F188" s="33">
        <f>E188/$E$215</f>
        <v>2.5000000000000001E-2</v>
      </c>
      <c r="H188" s="8">
        <f>B188</f>
        <v>26.6</v>
      </c>
      <c r="I188" s="9">
        <f>H188-$M$189</f>
        <v>-2.3349999999999937</v>
      </c>
      <c r="J188" s="9">
        <f>I188^2</f>
        <v>5.452224999999971</v>
      </c>
      <c r="L188" s="150" t="s">
        <v>32</v>
      </c>
      <c r="M188" s="150"/>
      <c r="P188" s="24" t="s">
        <v>86</v>
      </c>
      <c r="Q188" s="24"/>
    </row>
    <row r="189" spans="2:17" x14ac:dyDescent="0.25">
      <c r="B189" s="8">
        <v>30</v>
      </c>
      <c r="C189" s="8">
        <v>26.4</v>
      </c>
      <c r="D189" s="8">
        <v>26.4</v>
      </c>
      <c r="E189" s="8">
        <f t="shared" ref="E189:E214" si="23">COUNTIF($B$188:$B$227,D189)</f>
        <v>1</v>
      </c>
      <c r="F189" s="33">
        <f t="shared" ref="F189:F214" si="24">E189/$E$215</f>
        <v>2.5000000000000001E-2</v>
      </c>
      <c r="H189" s="8">
        <f t="shared" ref="H189:H227" si="25">B189</f>
        <v>30</v>
      </c>
      <c r="I189" s="9">
        <f t="shared" ref="I189:I227" si="26">H189-$M$189</f>
        <v>1.0650000000000048</v>
      </c>
      <c r="J189" s="9">
        <f t="shared" ref="J189:J227" si="27">I189^2</f>
        <v>1.1342250000000103</v>
      </c>
      <c r="L189" s="11" t="s">
        <v>33</v>
      </c>
      <c r="M189" s="9">
        <f>AVERAGE(B188:B227)</f>
        <v>28.934999999999995</v>
      </c>
      <c r="P189" s="22"/>
      <c r="Q189" s="22"/>
    </row>
    <row r="190" spans="2:17" x14ac:dyDescent="0.25">
      <c r="B190" s="8">
        <v>30.3</v>
      </c>
      <c r="C190" s="8">
        <v>26.5</v>
      </c>
      <c r="D190" s="8">
        <v>26.5</v>
      </c>
      <c r="E190" s="8">
        <f t="shared" si="23"/>
        <v>1</v>
      </c>
      <c r="F190" s="33">
        <f t="shared" si="24"/>
        <v>2.5000000000000001E-2</v>
      </c>
      <c r="H190" s="8">
        <f t="shared" si="25"/>
        <v>30.3</v>
      </c>
      <c r="I190" s="9">
        <f t="shared" si="26"/>
        <v>1.3650000000000055</v>
      </c>
      <c r="J190" s="9">
        <f t="shared" si="27"/>
        <v>1.8632250000000152</v>
      </c>
      <c r="L190" s="11" t="s">
        <v>34</v>
      </c>
      <c r="M190" s="8">
        <f>MEDIAN(C188:C227)</f>
        <v>28.85</v>
      </c>
      <c r="P190" s="22" t="s">
        <v>33</v>
      </c>
      <c r="Q190" s="22">
        <v>28.934999999999995</v>
      </c>
    </row>
    <row r="191" spans="2:17" x14ac:dyDescent="0.25">
      <c r="B191" s="8">
        <v>28.8</v>
      </c>
      <c r="C191" s="8">
        <v>26.6</v>
      </c>
      <c r="D191" s="8">
        <v>26.6</v>
      </c>
      <c r="E191" s="8">
        <f t="shared" si="23"/>
        <v>2</v>
      </c>
      <c r="F191" s="33">
        <f t="shared" si="24"/>
        <v>0.05</v>
      </c>
      <c r="H191" s="8">
        <f t="shared" si="25"/>
        <v>28.8</v>
      </c>
      <c r="I191" s="9">
        <f t="shared" si="26"/>
        <v>-0.13499999999999446</v>
      </c>
      <c r="J191" s="9">
        <f t="shared" si="27"/>
        <v>1.8224999999998503E-2</v>
      </c>
      <c r="L191" s="11" t="s">
        <v>35</v>
      </c>
      <c r="M191" s="8">
        <f>MODE(B188:B227)</f>
        <v>30.3</v>
      </c>
      <c r="P191" s="22" t="s">
        <v>36</v>
      </c>
      <c r="Q191" s="22">
        <v>0.23940497820585013</v>
      </c>
    </row>
    <row r="192" spans="2:17" x14ac:dyDescent="0.25">
      <c r="B192" s="8">
        <v>28.4</v>
      </c>
      <c r="C192" s="8">
        <v>26.6</v>
      </c>
      <c r="D192" s="8">
        <v>27.1</v>
      </c>
      <c r="E192" s="8">
        <f t="shared" si="23"/>
        <v>1</v>
      </c>
      <c r="F192" s="33">
        <f t="shared" si="24"/>
        <v>2.5000000000000001E-2</v>
      </c>
      <c r="H192" s="8">
        <f t="shared" si="25"/>
        <v>28.4</v>
      </c>
      <c r="I192" s="9">
        <f t="shared" si="26"/>
        <v>-0.53499999999999659</v>
      </c>
      <c r="J192" s="9">
        <f t="shared" si="27"/>
        <v>0.28622499999999634</v>
      </c>
      <c r="P192" s="22" t="s">
        <v>34</v>
      </c>
      <c r="Q192" s="22">
        <v>28.85</v>
      </c>
    </row>
    <row r="193" spans="2:17" x14ac:dyDescent="0.25">
      <c r="B193" s="8">
        <v>28.7</v>
      </c>
      <c r="C193" s="8">
        <v>27.1</v>
      </c>
      <c r="D193" s="8">
        <v>27.4</v>
      </c>
      <c r="E193" s="8">
        <f t="shared" si="23"/>
        <v>1</v>
      </c>
      <c r="F193" s="33">
        <f t="shared" si="24"/>
        <v>2.5000000000000001E-2</v>
      </c>
      <c r="H193" s="8">
        <f t="shared" si="25"/>
        <v>28.7</v>
      </c>
      <c r="I193" s="9">
        <f t="shared" si="26"/>
        <v>-0.23499999999999588</v>
      </c>
      <c r="J193" s="9">
        <f t="shared" si="27"/>
        <v>5.522499999999806E-2</v>
      </c>
      <c r="L193" s="150" t="s">
        <v>37</v>
      </c>
      <c r="M193" s="150"/>
      <c r="P193" s="22" t="s">
        <v>35</v>
      </c>
      <c r="Q193" s="22">
        <v>30.3</v>
      </c>
    </row>
    <row r="194" spans="2:17" x14ac:dyDescent="0.25">
      <c r="B194" s="8">
        <v>28.1</v>
      </c>
      <c r="C194" s="8">
        <v>27.4</v>
      </c>
      <c r="D194" s="8">
        <v>27.6</v>
      </c>
      <c r="E194" s="8">
        <f t="shared" si="23"/>
        <v>1</v>
      </c>
      <c r="F194" s="33">
        <f t="shared" si="24"/>
        <v>2.5000000000000001E-2</v>
      </c>
      <c r="H194" s="8">
        <f t="shared" si="25"/>
        <v>28.1</v>
      </c>
      <c r="I194" s="9">
        <f t="shared" si="26"/>
        <v>-0.83499999999999375</v>
      </c>
      <c r="J194" s="9">
        <f t="shared" si="27"/>
        <v>0.69722499999998955</v>
      </c>
      <c r="L194" s="11" t="s">
        <v>25</v>
      </c>
      <c r="M194" s="12">
        <f>C227-C188</f>
        <v>6.1999999999999993</v>
      </c>
      <c r="P194" s="22" t="s">
        <v>38</v>
      </c>
      <c r="Q194" s="22">
        <v>1.5141300286269153</v>
      </c>
    </row>
    <row r="195" spans="2:17" x14ac:dyDescent="0.25">
      <c r="B195" s="8">
        <v>30.4</v>
      </c>
      <c r="C195" s="8">
        <v>27.6</v>
      </c>
      <c r="D195" s="8">
        <v>27.8</v>
      </c>
      <c r="E195" s="8">
        <f t="shared" si="23"/>
        <v>1</v>
      </c>
      <c r="F195" s="33">
        <f t="shared" si="24"/>
        <v>2.5000000000000001E-2</v>
      </c>
      <c r="H195" s="8">
        <f t="shared" si="25"/>
        <v>30.4</v>
      </c>
      <c r="I195" s="9">
        <f t="shared" si="26"/>
        <v>1.4650000000000034</v>
      </c>
      <c r="J195" s="9">
        <f t="shared" si="27"/>
        <v>2.14622500000001</v>
      </c>
      <c r="L195" s="11" t="s">
        <v>87</v>
      </c>
      <c r="M195" s="13">
        <f>_xlfn.VAR.P(B188:B227)</f>
        <v>2.2352749999999992</v>
      </c>
      <c r="P195" s="22" t="s">
        <v>40</v>
      </c>
      <c r="Q195" s="22">
        <v>2.2925897435897431</v>
      </c>
    </row>
    <row r="196" spans="2:17" x14ac:dyDescent="0.25">
      <c r="B196" s="8">
        <v>27.1</v>
      </c>
      <c r="C196" s="8">
        <v>27.8</v>
      </c>
      <c r="D196" s="8">
        <v>28.1</v>
      </c>
      <c r="E196" s="8">
        <f t="shared" si="23"/>
        <v>1</v>
      </c>
      <c r="F196" s="33">
        <f t="shared" si="24"/>
        <v>2.5000000000000001E-2</v>
      </c>
      <c r="H196" s="8">
        <f t="shared" si="25"/>
        <v>27.1</v>
      </c>
      <c r="I196" s="9">
        <f t="shared" si="26"/>
        <v>-1.8349999999999937</v>
      </c>
      <c r="J196" s="9">
        <f t="shared" si="27"/>
        <v>3.3672249999999773</v>
      </c>
      <c r="L196" s="11" t="s">
        <v>41</v>
      </c>
      <c r="M196" s="13">
        <f>_xlfn.STDEV.P(B188:B227)</f>
        <v>1.495083609702146</v>
      </c>
      <c r="P196" s="22" t="s">
        <v>42</v>
      </c>
      <c r="Q196" s="22">
        <v>-0.27696027610258112</v>
      </c>
    </row>
    <row r="197" spans="2:17" x14ac:dyDescent="0.25">
      <c r="B197" s="8">
        <v>30.3</v>
      </c>
      <c r="C197" s="8">
        <v>28.1</v>
      </c>
      <c r="D197" s="8">
        <v>28.3</v>
      </c>
      <c r="E197" s="8">
        <f t="shared" si="23"/>
        <v>2</v>
      </c>
      <c r="F197" s="33">
        <f t="shared" si="24"/>
        <v>0.05</v>
      </c>
      <c r="H197" s="8">
        <f t="shared" si="25"/>
        <v>30.3</v>
      </c>
      <c r="I197" s="9">
        <f t="shared" si="26"/>
        <v>1.3650000000000055</v>
      </c>
      <c r="J197" s="9">
        <f t="shared" si="27"/>
        <v>1.8632250000000152</v>
      </c>
      <c r="P197" s="22" t="s">
        <v>43</v>
      </c>
      <c r="Q197" s="22">
        <v>1.6531493299604981E-2</v>
      </c>
    </row>
    <row r="198" spans="2:17" x14ac:dyDescent="0.25">
      <c r="B198" s="8">
        <v>29.2</v>
      </c>
      <c r="C198" s="8">
        <v>28.3</v>
      </c>
      <c r="D198" s="8">
        <v>28.4</v>
      </c>
      <c r="E198" s="8">
        <f t="shared" si="23"/>
        <v>3</v>
      </c>
      <c r="F198" s="33">
        <f t="shared" si="24"/>
        <v>7.4999999999999997E-2</v>
      </c>
      <c r="H198" s="8">
        <f t="shared" si="25"/>
        <v>29.2</v>
      </c>
      <c r="I198" s="9">
        <f t="shared" si="26"/>
        <v>0.26500000000000412</v>
      </c>
      <c r="J198" s="9">
        <f t="shared" si="27"/>
        <v>7.0225000000002188E-2</v>
      </c>
      <c r="P198" s="22" t="s">
        <v>25</v>
      </c>
      <c r="Q198" s="22">
        <v>6.1999999999999993</v>
      </c>
    </row>
    <row r="199" spans="2:17" x14ac:dyDescent="0.25">
      <c r="B199" s="8">
        <v>28.3</v>
      </c>
      <c r="C199" s="8">
        <v>28.3</v>
      </c>
      <c r="D199" s="8">
        <v>28.7</v>
      </c>
      <c r="E199" s="8">
        <f t="shared" si="23"/>
        <v>3</v>
      </c>
      <c r="F199" s="33">
        <f t="shared" si="24"/>
        <v>7.4999999999999997E-2</v>
      </c>
      <c r="H199" s="8">
        <f t="shared" si="25"/>
        <v>28.3</v>
      </c>
      <c r="I199" s="9">
        <f t="shared" si="26"/>
        <v>-0.63499999999999446</v>
      </c>
      <c r="J199" s="9">
        <f t="shared" si="27"/>
        <v>0.40322499999999295</v>
      </c>
      <c r="P199" s="22" t="s">
        <v>44</v>
      </c>
      <c r="Q199" s="22">
        <v>25.8</v>
      </c>
    </row>
    <row r="200" spans="2:17" x14ac:dyDescent="0.25">
      <c r="B200" s="8">
        <v>29.2</v>
      </c>
      <c r="C200" s="8">
        <v>28.4</v>
      </c>
      <c r="D200" s="8">
        <v>28.8</v>
      </c>
      <c r="E200" s="8">
        <f t="shared" si="23"/>
        <v>2</v>
      </c>
      <c r="F200" s="33">
        <f t="shared" si="24"/>
        <v>0.05</v>
      </c>
      <c r="H200" s="8">
        <f t="shared" si="25"/>
        <v>29.2</v>
      </c>
      <c r="I200" s="9">
        <f t="shared" si="26"/>
        <v>0.26500000000000412</v>
      </c>
      <c r="J200" s="9">
        <f t="shared" si="27"/>
        <v>7.0225000000002188E-2</v>
      </c>
      <c r="P200" s="22" t="s">
        <v>45</v>
      </c>
      <c r="Q200" s="22">
        <v>32</v>
      </c>
    </row>
    <row r="201" spans="2:17" x14ac:dyDescent="0.25">
      <c r="B201" s="8">
        <v>28.9</v>
      </c>
      <c r="C201" s="8">
        <v>28.4</v>
      </c>
      <c r="D201" s="8">
        <v>28.9</v>
      </c>
      <c r="E201" s="8">
        <f t="shared" si="23"/>
        <v>1</v>
      </c>
      <c r="F201" s="33">
        <f t="shared" si="24"/>
        <v>2.5000000000000001E-2</v>
      </c>
      <c r="H201" s="8">
        <f t="shared" si="25"/>
        <v>28.9</v>
      </c>
      <c r="I201" s="9">
        <f t="shared" si="26"/>
        <v>-3.4999999999996589E-2</v>
      </c>
      <c r="J201" s="9">
        <f t="shared" si="27"/>
        <v>1.2249999999997612E-3</v>
      </c>
      <c r="P201" s="22" t="s">
        <v>46</v>
      </c>
      <c r="Q201" s="22">
        <v>1157.3999999999999</v>
      </c>
    </row>
    <row r="202" spans="2:17" ht="15.75" thickBot="1" x14ac:dyDescent="0.3">
      <c r="B202" s="8">
        <v>29.5</v>
      </c>
      <c r="C202" s="8">
        <v>28.4</v>
      </c>
      <c r="D202" s="8">
        <v>29</v>
      </c>
      <c r="E202" s="8">
        <f t="shared" si="23"/>
        <v>1</v>
      </c>
      <c r="F202" s="33">
        <f t="shared" si="24"/>
        <v>2.5000000000000001E-2</v>
      </c>
      <c r="H202" s="8">
        <f t="shared" si="25"/>
        <v>29.5</v>
      </c>
      <c r="I202" s="9">
        <f t="shared" si="26"/>
        <v>0.56500000000000483</v>
      </c>
      <c r="J202" s="9">
        <f t="shared" si="27"/>
        <v>0.31922500000000548</v>
      </c>
      <c r="P202" s="23" t="s">
        <v>47</v>
      </c>
      <c r="Q202" s="23">
        <v>40</v>
      </c>
    </row>
    <row r="203" spans="2:17" ht="15.75" thickBot="1" x14ac:dyDescent="0.3">
      <c r="B203" s="8">
        <v>26.4</v>
      </c>
      <c r="C203" s="8">
        <v>28.7</v>
      </c>
      <c r="D203" s="8">
        <v>29.2</v>
      </c>
      <c r="E203" s="8">
        <f t="shared" si="23"/>
        <v>3</v>
      </c>
      <c r="F203" s="33">
        <f t="shared" si="24"/>
        <v>7.4999999999999997E-2</v>
      </c>
      <c r="H203" s="8">
        <f t="shared" si="25"/>
        <v>26.4</v>
      </c>
      <c r="I203" s="9">
        <f t="shared" si="26"/>
        <v>-2.5349999999999966</v>
      </c>
      <c r="J203" s="9">
        <f t="shared" si="27"/>
        <v>6.4262249999999828</v>
      </c>
      <c r="P203" s="14" t="s">
        <v>48</v>
      </c>
      <c r="Q203">
        <v>0</v>
      </c>
    </row>
    <row r="204" spans="2:17" x14ac:dyDescent="0.25">
      <c r="B204" s="8">
        <v>27.8</v>
      </c>
      <c r="C204" s="8">
        <v>28.7</v>
      </c>
      <c r="D204" s="8">
        <v>29.3</v>
      </c>
      <c r="E204" s="8">
        <f t="shared" si="23"/>
        <v>2</v>
      </c>
      <c r="F204" s="33">
        <f t="shared" si="24"/>
        <v>0.05</v>
      </c>
      <c r="H204" s="8">
        <f t="shared" si="25"/>
        <v>27.8</v>
      </c>
      <c r="I204" s="9">
        <f t="shared" si="26"/>
        <v>-1.1349999999999945</v>
      </c>
      <c r="J204" s="9">
        <f t="shared" si="27"/>
        <v>1.2882249999999875</v>
      </c>
    </row>
    <row r="205" spans="2:17" x14ac:dyDescent="0.25">
      <c r="B205" s="8">
        <v>29.3</v>
      </c>
      <c r="C205" s="8">
        <v>28.7</v>
      </c>
      <c r="D205" s="8">
        <v>29.5</v>
      </c>
      <c r="E205" s="8">
        <f t="shared" si="23"/>
        <v>2</v>
      </c>
      <c r="F205" s="33">
        <f t="shared" si="24"/>
        <v>0.05</v>
      </c>
      <c r="H205" s="8">
        <f t="shared" si="25"/>
        <v>29.3</v>
      </c>
      <c r="I205" s="9">
        <f t="shared" si="26"/>
        <v>0.36500000000000554</v>
      </c>
      <c r="J205" s="9">
        <f t="shared" si="27"/>
        <v>0.13322500000000403</v>
      </c>
    </row>
    <row r="206" spans="2:17" x14ac:dyDescent="0.25">
      <c r="B206" s="8">
        <v>31.2</v>
      </c>
      <c r="C206" s="8">
        <v>28.8</v>
      </c>
      <c r="D206" s="8">
        <v>30</v>
      </c>
      <c r="E206" s="8">
        <f t="shared" si="23"/>
        <v>1</v>
      </c>
      <c r="F206" s="33">
        <f t="shared" si="24"/>
        <v>2.5000000000000001E-2</v>
      </c>
      <c r="H206" s="8">
        <f t="shared" si="25"/>
        <v>31.2</v>
      </c>
      <c r="I206" s="9">
        <f t="shared" si="26"/>
        <v>2.2650000000000041</v>
      </c>
      <c r="J206" s="9">
        <f t="shared" si="27"/>
        <v>5.1302250000000189</v>
      </c>
    </row>
    <row r="207" spans="2:17" x14ac:dyDescent="0.25">
      <c r="B207" s="8">
        <v>28.4</v>
      </c>
      <c r="C207" s="8">
        <v>28.8</v>
      </c>
      <c r="D207" s="8">
        <v>30.2</v>
      </c>
      <c r="E207" s="8">
        <f t="shared" si="23"/>
        <v>1</v>
      </c>
      <c r="F207" s="33">
        <f t="shared" si="24"/>
        <v>2.5000000000000001E-2</v>
      </c>
      <c r="H207" s="8">
        <f t="shared" si="25"/>
        <v>28.4</v>
      </c>
      <c r="I207" s="9">
        <f t="shared" si="26"/>
        <v>-0.53499999999999659</v>
      </c>
      <c r="J207" s="9">
        <f t="shared" si="27"/>
        <v>0.28622499999999634</v>
      </c>
    </row>
    <row r="208" spans="2:17" x14ac:dyDescent="0.25">
      <c r="B208" s="8">
        <v>29.3</v>
      </c>
      <c r="C208" s="8">
        <v>28.9</v>
      </c>
      <c r="D208" s="8">
        <v>30.3</v>
      </c>
      <c r="E208" s="8">
        <f t="shared" si="23"/>
        <v>3</v>
      </c>
      <c r="F208" s="33">
        <f t="shared" si="24"/>
        <v>7.4999999999999997E-2</v>
      </c>
      <c r="H208" s="8">
        <f t="shared" si="25"/>
        <v>29.3</v>
      </c>
      <c r="I208" s="9">
        <f t="shared" si="26"/>
        <v>0.36500000000000554</v>
      </c>
      <c r="J208" s="9">
        <f t="shared" si="27"/>
        <v>0.13322500000000403</v>
      </c>
    </row>
    <row r="209" spans="2:10" x14ac:dyDescent="0.25">
      <c r="B209" s="8">
        <v>27.6</v>
      </c>
      <c r="C209" s="8">
        <v>29</v>
      </c>
      <c r="D209" s="8">
        <v>30.4</v>
      </c>
      <c r="E209" s="8">
        <f t="shared" si="23"/>
        <v>1</v>
      </c>
      <c r="F209" s="33">
        <f t="shared" si="24"/>
        <v>2.5000000000000001E-2</v>
      </c>
      <c r="H209" s="8">
        <f t="shared" si="25"/>
        <v>27.6</v>
      </c>
      <c r="I209" s="9">
        <f t="shared" si="26"/>
        <v>-1.3349999999999937</v>
      </c>
      <c r="J209" s="9">
        <f t="shared" si="27"/>
        <v>1.7822249999999833</v>
      </c>
    </row>
    <row r="210" spans="2:10" x14ac:dyDescent="0.25">
      <c r="B210" s="8">
        <v>26.5</v>
      </c>
      <c r="C210" s="8">
        <v>29.2</v>
      </c>
      <c r="D210" s="8">
        <v>30.8</v>
      </c>
      <c r="E210" s="8">
        <f t="shared" si="23"/>
        <v>1</v>
      </c>
      <c r="F210" s="33">
        <f t="shared" si="24"/>
        <v>2.5000000000000001E-2</v>
      </c>
      <c r="H210" s="8">
        <f t="shared" si="25"/>
        <v>26.5</v>
      </c>
      <c r="I210" s="9">
        <f t="shared" si="26"/>
        <v>-2.4349999999999952</v>
      </c>
      <c r="J210" s="9">
        <f t="shared" si="27"/>
        <v>5.9292249999999767</v>
      </c>
    </row>
    <row r="211" spans="2:10" x14ac:dyDescent="0.25">
      <c r="B211" s="8">
        <v>30.2</v>
      </c>
      <c r="C211" s="8">
        <v>29.2</v>
      </c>
      <c r="D211" s="8">
        <v>31.2</v>
      </c>
      <c r="E211" s="8">
        <f t="shared" si="23"/>
        <v>1</v>
      </c>
      <c r="F211" s="33">
        <f t="shared" si="24"/>
        <v>2.5000000000000001E-2</v>
      </c>
      <c r="H211" s="8">
        <f t="shared" si="25"/>
        <v>30.2</v>
      </c>
      <c r="I211" s="9">
        <f t="shared" si="26"/>
        <v>1.2650000000000041</v>
      </c>
      <c r="J211" s="9">
        <f t="shared" si="27"/>
        <v>1.6002250000000104</v>
      </c>
    </row>
    <row r="212" spans="2:10" x14ac:dyDescent="0.25">
      <c r="B212" s="8">
        <v>27.4</v>
      </c>
      <c r="C212" s="8">
        <v>29.2</v>
      </c>
      <c r="D212" s="8">
        <v>31.5</v>
      </c>
      <c r="E212" s="8">
        <f t="shared" si="23"/>
        <v>1</v>
      </c>
      <c r="F212" s="33">
        <f t="shared" si="24"/>
        <v>2.5000000000000001E-2</v>
      </c>
      <c r="H212" s="8">
        <f t="shared" si="25"/>
        <v>27.4</v>
      </c>
      <c r="I212" s="9">
        <f t="shared" si="26"/>
        <v>-1.5349999999999966</v>
      </c>
      <c r="J212" s="9">
        <f t="shared" si="27"/>
        <v>2.3562249999999896</v>
      </c>
    </row>
    <row r="213" spans="2:10" x14ac:dyDescent="0.25">
      <c r="B213" s="8">
        <v>25.8</v>
      </c>
      <c r="C213" s="8">
        <v>29.3</v>
      </c>
      <c r="D213" s="8">
        <v>31.9</v>
      </c>
      <c r="E213" s="8">
        <f t="shared" si="23"/>
        <v>1</v>
      </c>
      <c r="F213" s="33">
        <f t="shared" si="24"/>
        <v>2.5000000000000001E-2</v>
      </c>
      <c r="H213" s="8">
        <f t="shared" si="25"/>
        <v>25.8</v>
      </c>
      <c r="I213" s="9">
        <f t="shared" si="26"/>
        <v>-3.1349999999999945</v>
      </c>
      <c r="J213" s="9">
        <f t="shared" si="27"/>
        <v>9.828224999999966</v>
      </c>
    </row>
    <row r="214" spans="2:10" x14ac:dyDescent="0.25">
      <c r="B214" s="8">
        <v>31.9</v>
      </c>
      <c r="C214" s="8">
        <v>29.3</v>
      </c>
      <c r="D214" s="8">
        <v>32</v>
      </c>
      <c r="E214" s="8">
        <f t="shared" si="23"/>
        <v>1</v>
      </c>
      <c r="F214" s="33">
        <f t="shared" si="24"/>
        <v>2.5000000000000001E-2</v>
      </c>
      <c r="H214" s="8">
        <f t="shared" si="25"/>
        <v>31.9</v>
      </c>
      <c r="I214" s="9">
        <f t="shared" si="26"/>
        <v>2.9650000000000034</v>
      </c>
      <c r="J214" s="9">
        <f t="shared" si="27"/>
        <v>8.7912250000000203</v>
      </c>
    </row>
    <row r="215" spans="2:10" x14ac:dyDescent="0.25">
      <c r="B215" s="8">
        <v>28.7</v>
      </c>
      <c r="C215" s="8">
        <v>29.5</v>
      </c>
      <c r="D215" s="29" t="s">
        <v>22</v>
      </c>
      <c r="E215" s="8">
        <f>SUM(E188:E214)</f>
        <v>40</v>
      </c>
      <c r="F215" s="8">
        <f>SUM(F188:F214)</f>
        <v>1.0000000000000002</v>
      </c>
      <c r="H215" s="8">
        <f t="shared" si="25"/>
        <v>28.7</v>
      </c>
      <c r="I215" s="9">
        <f t="shared" si="26"/>
        <v>-0.23499999999999588</v>
      </c>
      <c r="J215" s="9">
        <f t="shared" si="27"/>
        <v>5.522499999999806E-2</v>
      </c>
    </row>
    <row r="216" spans="2:10" x14ac:dyDescent="0.25">
      <c r="B216" s="8">
        <v>29.2</v>
      </c>
      <c r="C216" s="8">
        <v>29.5</v>
      </c>
      <c r="H216" s="8">
        <f t="shared" si="25"/>
        <v>29.2</v>
      </c>
      <c r="I216" s="9">
        <f t="shared" si="26"/>
        <v>0.26500000000000412</v>
      </c>
      <c r="J216" s="9">
        <f t="shared" si="27"/>
        <v>7.0225000000002188E-2</v>
      </c>
    </row>
    <row r="217" spans="2:10" x14ac:dyDescent="0.25">
      <c r="B217" s="8">
        <v>30.8</v>
      </c>
      <c r="C217" s="8">
        <v>30</v>
      </c>
      <c r="H217" s="8">
        <f t="shared" si="25"/>
        <v>30.8</v>
      </c>
      <c r="I217" s="9">
        <f t="shared" si="26"/>
        <v>1.8650000000000055</v>
      </c>
      <c r="J217" s="9">
        <f t="shared" si="27"/>
        <v>3.4782250000000206</v>
      </c>
    </row>
    <row r="218" spans="2:10" x14ac:dyDescent="0.25">
      <c r="B218" s="8">
        <v>28.7</v>
      </c>
      <c r="C218" s="8">
        <v>30.2</v>
      </c>
      <c r="H218" s="8">
        <f t="shared" si="25"/>
        <v>28.7</v>
      </c>
      <c r="I218" s="9">
        <f t="shared" si="26"/>
        <v>-0.23499999999999588</v>
      </c>
      <c r="J218" s="9">
        <f t="shared" si="27"/>
        <v>5.522499999999806E-2</v>
      </c>
    </row>
    <row r="219" spans="2:10" x14ac:dyDescent="0.25">
      <c r="B219" s="8">
        <v>26.6</v>
      </c>
      <c r="C219" s="8">
        <v>30.3</v>
      </c>
      <c r="H219" s="8">
        <f t="shared" si="25"/>
        <v>26.6</v>
      </c>
      <c r="I219" s="9">
        <f t="shared" si="26"/>
        <v>-2.3349999999999937</v>
      </c>
      <c r="J219" s="9">
        <f t="shared" si="27"/>
        <v>5.452224999999971</v>
      </c>
    </row>
    <row r="220" spans="2:10" x14ac:dyDescent="0.25">
      <c r="B220" s="8">
        <v>28.8</v>
      </c>
      <c r="C220" s="8">
        <v>30.3</v>
      </c>
      <c r="H220" s="8">
        <f t="shared" si="25"/>
        <v>28.8</v>
      </c>
      <c r="I220" s="9">
        <f t="shared" si="26"/>
        <v>-0.13499999999999446</v>
      </c>
      <c r="J220" s="9">
        <f t="shared" si="27"/>
        <v>1.8224999999998503E-2</v>
      </c>
    </row>
    <row r="221" spans="2:10" x14ac:dyDescent="0.25">
      <c r="B221" s="8">
        <v>30.3</v>
      </c>
      <c r="C221" s="8">
        <v>30.3</v>
      </c>
      <c r="H221" s="8">
        <f t="shared" si="25"/>
        <v>30.3</v>
      </c>
      <c r="I221" s="9">
        <f t="shared" si="26"/>
        <v>1.3650000000000055</v>
      </c>
      <c r="J221" s="9">
        <f t="shared" si="27"/>
        <v>1.8632250000000152</v>
      </c>
    </row>
    <row r="222" spans="2:10" x14ac:dyDescent="0.25">
      <c r="B222" s="8">
        <v>29.5</v>
      </c>
      <c r="C222" s="8">
        <v>30.4</v>
      </c>
      <c r="H222" s="8">
        <f t="shared" si="25"/>
        <v>29.5</v>
      </c>
      <c r="I222" s="9">
        <f t="shared" si="26"/>
        <v>0.56500000000000483</v>
      </c>
      <c r="J222" s="9">
        <f t="shared" si="27"/>
        <v>0.31922500000000548</v>
      </c>
    </row>
    <row r="223" spans="2:10" x14ac:dyDescent="0.25">
      <c r="B223" s="8">
        <v>29</v>
      </c>
      <c r="C223" s="8">
        <v>30.8</v>
      </c>
      <c r="H223" s="8">
        <f t="shared" si="25"/>
        <v>29</v>
      </c>
      <c r="I223" s="9">
        <f t="shared" si="26"/>
        <v>6.5000000000004832E-2</v>
      </c>
      <c r="J223" s="9">
        <f t="shared" si="27"/>
        <v>4.2250000000006284E-3</v>
      </c>
    </row>
    <row r="224" spans="2:10" x14ac:dyDescent="0.25">
      <c r="B224" s="8">
        <v>28.4</v>
      </c>
      <c r="C224" s="8">
        <v>31.2</v>
      </c>
      <c r="H224" s="8">
        <f t="shared" si="25"/>
        <v>28.4</v>
      </c>
      <c r="I224" s="9">
        <f t="shared" si="26"/>
        <v>-0.53499999999999659</v>
      </c>
      <c r="J224" s="9">
        <f t="shared" si="27"/>
        <v>0.28622499999999634</v>
      </c>
    </row>
    <row r="225" spans="2:16" x14ac:dyDescent="0.25">
      <c r="B225" s="8">
        <v>28.3</v>
      </c>
      <c r="C225" s="8">
        <v>31.5</v>
      </c>
      <c r="H225" s="8">
        <f t="shared" si="25"/>
        <v>28.3</v>
      </c>
      <c r="I225" s="9">
        <f t="shared" si="26"/>
        <v>-0.63499999999999446</v>
      </c>
      <c r="J225" s="9">
        <f t="shared" si="27"/>
        <v>0.40322499999999295</v>
      </c>
    </row>
    <row r="226" spans="2:16" x14ac:dyDescent="0.25">
      <c r="B226" s="8">
        <v>32</v>
      </c>
      <c r="C226" s="8">
        <v>31.9</v>
      </c>
      <c r="H226" s="8">
        <f t="shared" si="25"/>
        <v>32</v>
      </c>
      <c r="I226" s="9">
        <f t="shared" si="26"/>
        <v>3.0650000000000048</v>
      </c>
      <c r="J226" s="9">
        <f t="shared" si="27"/>
        <v>9.3942250000000289</v>
      </c>
    </row>
    <row r="227" spans="2:16" x14ac:dyDescent="0.25">
      <c r="B227" s="8">
        <v>31.5</v>
      </c>
      <c r="C227" s="8">
        <v>32</v>
      </c>
      <c r="H227" s="8">
        <f t="shared" si="25"/>
        <v>31.5</v>
      </c>
      <c r="I227" s="9">
        <f t="shared" si="26"/>
        <v>2.5650000000000048</v>
      </c>
      <c r="J227" s="9">
        <f t="shared" si="27"/>
        <v>6.579225000000025</v>
      </c>
    </row>
    <row r="228" spans="2:16" x14ac:dyDescent="0.25">
      <c r="I228" s="11" t="s">
        <v>49</v>
      </c>
      <c r="J228" s="9">
        <f>SUM(J188:J227)</f>
        <v>89.410999999999973</v>
      </c>
    </row>
    <row r="229" spans="2:16" x14ac:dyDescent="0.25">
      <c r="I229" s="11" t="s">
        <v>87</v>
      </c>
      <c r="J229" s="9">
        <f>J228/E215</f>
        <v>2.2352749999999992</v>
      </c>
    </row>
    <row r="231" spans="2:16" x14ac:dyDescent="0.25">
      <c r="J231" s="152" t="s">
        <v>61</v>
      </c>
      <c r="K231" s="153"/>
      <c r="L231" s="18" t="s">
        <v>62</v>
      </c>
    </row>
    <row r="232" spans="2:16" x14ac:dyDescent="0.25">
      <c r="B232" s="6" t="s">
        <v>85</v>
      </c>
      <c r="C232" s="6" t="s">
        <v>27</v>
      </c>
      <c r="E232" s="152" t="s">
        <v>51</v>
      </c>
      <c r="F232" s="155"/>
      <c r="G232" s="153"/>
      <c r="I232" s="11" t="s">
        <v>57</v>
      </c>
      <c r="J232" s="11" t="s">
        <v>58</v>
      </c>
      <c r="K232" s="11" t="s">
        <v>59</v>
      </c>
      <c r="L232" s="18" t="s">
        <v>60</v>
      </c>
      <c r="M232" s="11" t="s">
        <v>63</v>
      </c>
      <c r="N232" s="11" t="s">
        <v>64</v>
      </c>
      <c r="O232" s="11" t="s">
        <v>65</v>
      </c>
      <c r="P232" s="11" t="s">
        <v>64</v>
      </c>
    </row>
    <row r="233" spans="2:16" x14ac:dyDescent="0.25">
      <c r="B233" s="8">
        <v>26.6</v>
      </c>
      <c r="C233" s="8">
        <v>25.8</v>
      </c>
      <c r="E233" s="12" t="s">
        <v>52</v>
      </c>
      <c r="F233" s="12"/>
      <c r="G233" s="12">
        <f>COUNT(B233:B272)</f>
        <v>40</v>
      </c>
      <c r="I233" s="12">
        <v>1</v>
      </c>
      <c r="J233" s="25">
        <f>C233</f>
        <v>25.8</v>
      </c>
      <c r="K233" s="25">
        <f>J233+$G$238</f>
        <v>26.574999999999999</v>
      </c>
      <c r="L233" s="16">
        <f>(J233+K233)/2</f>
        <v>26.1875</v>
      </c>
      <c r="M233" s="12">
        <f t="array" ref="M233:M240">FREQUENCY(B233:B272,K233:K240)</f>
        <v>3</v>
      </c>
      <c r="N233" s="12">
        <f>M233</f>
        <v>3</v>
      </c>
      <c r="O233" s="17">
        <f>M233/$G$233</f>
        <v>7.4999999999999997E-2</v>
      </c>
      <c r="P233" s="17">
        <f>O233</f>
        <v>7.4999999999999997E-2</v>
      </c>
    </row>
    <row r="234" spans="2:16" x14ac:dyDescent="0.25">
      <c r="B234" s="8">
        <v>30</v>
      </c>
      <c r="C234" s="8">
        <v>26.4</v>
      </c>
      <c r="E234" s="12" t="s">
        <v>53</v>
      </c>
      <c r="F234" s="12"/>
      <c r="G234" s="12">
        <f>MAX(B233:B272)</f>
        <v>32</v>
      </c>
      <c r="I234" s="12">
        <v>2</v>
      </c>
      <c r="J234" s="25">
        <f t="shared" ref="J234:J240" si="28">K233+1</f>
        <v>27.574999999999999</v>
      </c>
      <c r="K234" s="25">
        <f t="shared" ref="K234:K240" si="29">J234+$G$238</f>
        <v>28.349999999999998</v>
      </c>
      <c r="L234" s="16">
        <f t="shared" ref="L234:L239" si="30">(J234+K234)/2</f>
        <v>27.962499999999999</v>
      </c>
      <c r="M234" s="12">
        <v>9</v>
      </c>
      <c r="N234" s="12">
        <f t="shared" ref="N234:N240" si="31">N233+M234</f>
        <v>12</v>
      </c>
      <c r="O234" s="17">
        <f t="shared" ref="O234:O240" si="32">M234/$G$233</f>
        <v>0.22500000000000001</v>
      </c>
      <c r="P234" s="17">
        <f t="shared" ref="P234:P240" si="33">P233+O234</f>
        <v>0.3</v>
      </c>
    </row>
    <row r="235" spans="2:16" x14ac:dyDescent="0.25">
      <c r="B235" s="8">
        <v>30.3</v>
      </c>
      <c r="C235" s="8">
        <v>26.5</v>
      </c>
      <c r="E235" s="12" t="s">
        <v>54</v>
      </c>
      <c r="F235" s="12"/>
      <c r="G235" s="12">
        <f>MIN(B233:B272)</f>
        <v>25.8</v>
      </c>
      <c r="I235" s="12">
        <v>3</v>
      </c>
      <c r="J235" s="25">
        <f t="shared" si="28"/>
        <v>29.349999999999998</v>
      </c>
      <c r="K235" s="25">
        <f t="shared" si="29"/>
        <v>30.124999999999996</v>
      </c>
      <c r="L235" s="16">
        <f t="shared" si="30"/>
        <v>29.737499999999997</v>
      </c>
      <c r="M235" s="12">
        <v>18</v>
      </c>
      <c r="N235" s="12">
        <f t="shared" si="31"/>
        <v>30</v>
      </c>
      <c r="O235" s="17">
        <f t="shared" si="32"/>
        <v>0.45</v>
      </c>
      <c r="P235" s="17">
        <f t="shared" si="33"/>
        <v>0.75</v>
      </c>
    </row>
    <row r="236" spans="2:16" x14ac:dyDescent="0.25">
      <c r="B236" s="8">
        <v>28.8</v>
      </c>
      <c r="C236" s="8">
        <v>26.6</v>
      </c>
      <c r="E236" s="12" t="s">
        <v>25</v>
      </c>
      <c r="F236" s="12"/>
      <c r="G236" s="12">
        <f>C272-C233</f>
        <v>6.1999999999999993</v>
      </c>
      <c r="I236" s="12">
        <v>4</v>
      </c>
      <c r="J236" s="25">
        <f t="shared" si="28"/>
        <v>31.124999999999996</v>
      </c>
      <c r="K236" s="25">
        <f t="shared" si="29"/>
        <v>31.899999999999995</v>
      </c>
      <c r="L236" s="16">
        <f t="shared" si="30"/>
        <v>31.512499999999996</v>
      </c>
      <c r="M236" s="12">
        <v>8</v>
      </c>
      <c r="N236" s="12">
        <f t="shared" si="31"/>
        <v>38</v>
      </c>
      <c r="O236" s="17">
        <f t="shared" si="32"/>
        <v>0.2</v>
      </c>
      <c r="P236" s="17">
        <f t="shared" si="33"/>
        <v>0.95</v>
      </c>
    </row>
    <row r="237" spans="2:16" x14ac:dyDescent="0.25">
      <c r="B237" s="8">
        <v>28.4</v>
      </c>
      <c r="C237" s="8">
        <v>26.6</v>
      </c>
      <c r="E237" s="12" t="s">
        <v>55</v>
      </c>
      <c r="F237" s="12"/>
      <c r="G237" s="12">
        <v>8</v>
      </c>
      <c r="I237" s="12">
        <v>5</v>
      </c>
      <c r="J237" s="25">
        <f t="shared" si="28"/>
        <v>32.899999999999991</v>
      </c>
      <c r="K237" s="25">
        <f t="shared" si="29"/>
        <v>33.67499999999999</v>
      </c>
      <c r="L237" s="16">
        <f t="shared" si="30"/>
        <v>33.287499999999994</v>
      </c>
      <c r="M237" s="12">
        <v>2</v>
      </c>
      <c r="N237" s="12">
        <f t="shared" si="31"/>
        <v>40</v>
      </c>
      <c r="O237" s="17">
        <f t="shared" si="32"/>
        <v>0.05</v>
      </c>
      <c r="P237" s="17">
        <f t="shared" si="33"/>
        <v>1</v>
      </c>
    </row>
    <row r="238" spans="2:16" x14ac:dyDescent="0.25">
      <c r="B238" s="8">
        <v>28.7</v>
      </c>
      <c r="C238" s="8">
        <v>27.1</v>
      </c>
      <c r="E238" s="12" t="s">
        <v>56</v>
      </c>
      <c r="F238" s="12"/>
      <c r="G238" s="26">
        <f>G236/G237</f>
        <v>0.77499999999999991</v>
      </c>
      <c r="I238" s="12">
        <v>6</v>
      </c>
      <c r="J238" s="25">
        <f t="shared" si="28"/>
        <v>34.67499999999999</v>
      </c>
      <c r="K238" s="25">
        <f t="shared" si="29"/>
        <v>35.449999999999989</v>
      </c>
      <c r="L238" s="16">
        <f t="shared" si="30"/>
        <v>35.062499999999986</v>
      </c>
      <c r="M238" s="12">
        <v>0</v>
      </c>
      <c r="N238" s="12">
        <f t="shared" si="31"/>
        <v>40</v>
      </c>
      <c r="O238" s="17">
        <f t="shared" si="32"/>
        <v>0</v>
      </c>
      <c r="P238" s="17">
        <f t="shared" si="33"/>
        <v>1</v>
      </c>
    </row>
    <row r="239" spans="2:16" x14ac:dyDescent="0.25">
      <c r="B239" s="8">
        <v>28.1</v>
      </c>
      <c r="C239" s="8">
        <v>27.4</v>
      </c>
      <c r="I239" s="12">
        <v>7</v>
      </c>
      <c r="J239" s="25">
        <f t="shared" si="28"/>
        <v>36.449999999999989</v>
      </c>
      <c r="K239" s="25">
        <f t="shared" si="29"/>
        <v>37.224999999999987</v>
      </c>
      <c r="L239" s="16">
        <f t="shared" si="30"/>
        <v>36.837499999999991</v>
      </c>
      <c r="M239" s="12">
        <v>0</v>
      </c>
      <c r="N239" s="12">
        <f t="shared" si="31"/>
        <v>40</v>
      </c>
      <c r="O239" s="17">
        <f t="shared" si="32"/>
        <v>0</v>
      </c>
      <c r="P239" s="17">
        <f t="shared" si="33"/>
        <v>1</v>
      </c>
    </row>
    <row r="240" spans="2:16" x14ac:dyDescent="0.25">
      <c r="B240" s="8">
        <v>30.4</v>
      </c>
      <c r="C240" s="8">
        <v>27.6</v>
      </c>
      <c r="I240" s="12">
        <v>8</v>
      </c>
      <c r="J240" s="25">
        <f t="shared" si="28"/>
        <v>38.224999999999987</v>
      </c>
      <c r="K240" s="25">
        <f t="shared" si="29"/>
        <v>38.999999999999986</v>
      </c>
      <c r="L240" s="16">
        <f>(J240+K240)/2</f>
        <v>38.612499999999983</v>
      </c>
      <c r="M240" s="12">
        <v>0</v>
      </c>
      <c r="N240" s="12">
        <f t="shared" si="31"/>
        <v>40</v>
      </c>
      <c r="O240" s="17">
        <f t="shared" si="32"/>
        <v>0</v>
      </c>
      <c r="P240" s="17">
        <f t="shared" si="33"/>
        <v>1</v>
      </c>
    </row>
    <row r="241" spans="2:19" x14ac:dyDescent="0.25">
      <c r="B241" s="8">
        <v>27.1</v>
      </c>
      <c r="C241" s="8">
        <v>27.8</v>
      </c>
    </row>
    <row r="242" spans="2:19" x14ac:dyDescent="0.25">
      <c r="B242" s="8">
        <v>30.3</v>
      </c>
      <c r="C242" s="8">
        <v>28.1</v>
      </c>
      <c r="I242" s="152" t="s">
        <v>66</v>
      </c>
      <c r="J242" s="153"/>
    </row>
    <row r="243" spans="2:19" x14ac:dyDescent="0.25">
      <c r="B243" s="8">
        <v>29.2</v>
      </c>
      <c r="C243" s="8">
        <v>28.3</v>
      </c>
      <c r="G243" s="19"/>
      <c r="I243" s="18" t="s">
        <v>57</v>
      </c>
      <c r="J243" s="18" t="s">
        <v>67</v>
      </c>
      <c r="K243" s="18" t="s">
        <v>60</v>
      </c>
      <c r="S243" s="27"/>
    </row>
    <row r="244" spans="2:19" x14ac:dyDescent="0.25">
      <c r="B244" s="8">
        <v>28.3</v>
      </c>
      <c r="C244" s="8">
        <v>28.3</v>
      </c>
      <c r="I244" s="15">
        <v>1</v>
      </c>
      <c r="J244" s="31" t="s">
        <v>99</v>
      </c>
      <c r="K244" s="16">
        <f t="shared" ref="K244:K251" si="34">L233</f>
        <v>26.1875</v>
      </c>
    </row>
    <row r="245" spans="2:19" x14ac:dyDescent="0.25">
      <c r="B245" s="8">
        <v>29.2</v>
      </c>
      <c r="C245" s="8">
        <v>28.4</v>
      </c>
      <c r="I245" s="15">
        <v>2</v>
      </c>
      <c r="J245" s="31" t="s">
        <v>100</v>
      </c>
      <c r="K245" s="16">
        <f t="shared" si="34"/>
        <v>27.962499999999999</v>
      </c>
    </row>
    <row r="246" spans="2:19" x14ac:dyDescent="0.25">
      <c r="B246" s="8">
        <v>28.9</v>
      </c>
      <c r="C246" s="8">
        <v>28.4</v>
      </c>
      <c r="I246" s="15">
        <v>3</v>
      </c>
      <c r="J246" s="31" t="s">
        <v>101</v>
      </c>
      <c r="K246" s="16">
        <f t="shared" si="34"/>
        <v>29.737499999999997</v>
      </c>
    </row>
    <row r="247" spans="2:19" x14ac:dyDescent="0.25">
      <c r="B247" s="8">
        <v>29.5</v>
      </c>
      <c r="C247" s="8">
        <v>28.4</v>
      </c>
      <c r="I247" s="15">
        <v>4</v>
      </c>
      <c r="J247" s="31" t="s">
        <v>102</v>
      </c>
      <c r="K247" s="16">
        <f t="shared" si="34"/>
        <v>31.512499999999996</v>
      </c>
    </row>
    <row r="248" spans="2:19" x14ac:dyDescent="0.25">
      <c r="B248" s="8">
        <v>26.4</v>
      </c>
      <c r="C248" s="8">
        <v>28.7</v>
      </c>
      <c r="I248" s="15">
        <v>5</v>
      </c>
      <c r="J248" s="31" t="s">
        <v>103</v>
      </c>
      <c r="K248" s="16">
        <f t="shared" si="34"/>
        <v>33.287499999999994</v>
      </c>
    </row>
    <row r="249" spans="2:19" x14ac:dyDescent="0.25">
      <c r="B249" s="8">
        <v>27.8</v>
      </c>
      <c r="C249" s="8">
        <v>28.7</v>
      </c>
      <c r="I249" s="15">
        <v>6</v>
      </c>
      <c r="J249" s="31" t="s">
        <v>104</v>
      </c>
      <c r="K249" s="16">
        <f t="shared" si="34"/>
        <v>35.062499999999986</v>
      </c>
    </row>
    <row r="250" spans="2:19" x14ac:dyDescent="0.25">
      <c r="B250" s="8">
        <v>29.3</v>
      </c>
      <c r="C250" s="8">
        <v>28.7</v>
      </c>
      <c r="I250" s="15">
        <v>7</v>
      </c>
      <c r="J250" s="31" t="s">
        <v>105</v>
      </c>
      <c r="K250" s="16">
        <f t="shared" si="34"/>
        <v>36.837499999999991</v>
      </c>
    </row>
    <row r="251" spans="2:19" x14ac:dyDescent="0.25">
      <c r="B251" s="8">
        <v>31.2</v>
      </c>
      <c r="C251" s="8">
        <v>28.8</v>
      </c>
      <c r="I251" s="15">
        <v>8</v>
      </c>
      <c r="J251" s="31" t="s">
        <v>106</v>
      </c>
      <c r="K251" s="16">
        <f t="shared" si="34"/>
        <v>38.612499999999983</v>
      </c>
      <c r="L251" s="27"/>
    </row>
    <row r="252" spans="2:19" x14ac:dyDescent="0.25">
      <c r="B252" s="8">
        <v>28.4</v>
      </c>
      <c r="C252" s="8">
        <v>28.8</v>
      </c>
    </row>
    <row r="253" spans="2:19" x14ac:dyDescent="0.25">
      <c r="B253" s="8">
        <v>29.3</v>
      </c>
      <c r="C253" s="8">
        <v>28.9</v>
      </c>
    </row>
    <row r="254" spans="2:19" x14ac:dyDescent="0.25">
      <c r="B254" s="8">
        <v>27.6</v>
      </c>
      <c r="C254" s="8">
        <v>29</v>
      </c>
    </row>
    <row r="255" spans="2:19" x14ac:dyDescent="0.25">
      <c r="B255" s="8">
        <v>26.5</v>
      </c>
      <c r="C255" s="8">
        <v>29.2</v>
      </c>
    </row>
    <row r="256" spans="2:19" x14ac:dyDescent="0.25">
      <c r="B256" s="8">
        <v>30.2</v>
      </c>
      <c r="C256" s="8">
        <v>29.2</v>
      </c>
    </row>
    <row r="257" spans="2:3" x14ac:dyDescent="0.25">
      <c r="B257" s="8">
        <v>27.4</v>
      </c>
      <c r="C257" s="8">
        <v>29.2</v>
      </c>
    </row>
    <row r="258" spans="2:3" x14ac:dyDescent="0.25">
      <c r="B258" s="8">
        <v>25.8</v>
      </c>
      <c r="C258" s="8">
        <v>29.3</v>
      </c>
    </row>
    <row r="259" spans="2:3" x14ac:dyDescent="0.25">
      <c r="B259" s="8">
        <v>31.9</v>
      </c>
      <c r="C259" s="8">
        <v>29.3</v>
      </c>
    </row>
    <row r="260" spans="2:3" x14ac:dyDescent="0.25">
      <c r="B260" s="8">
        <v>28.7</v>
      </c>
      <c r="C260" s="8">
        <v>29.5</v>
      </c>
    </row>
    <row r="261" spans="2:3" x14ac:dyDescent="0.25">
      <c r="B261" s="8">
        <v>29.2</v>
      </c>
      <c r="C261" s="8">
        <v>29.5</v>
      </c>
    </row>
    <row r="262" spans="2:3" x14ac:dyDescent="0.25">
      <c r="B262" s="8">
        <v>30.8</v>
      </c>
      <c r="C262" s="8">
        <v>30</v>
      </c>
    </row>
    <row r="263" spans="2:3" x14ac:dyDescent="0.25">
      <c r="B263" s="8">
        <v>28.7</v>
      </c>
      <c r="C263" s="8">
        <v>30.2</v>
      </c>
    </row>
    <row r="264" spans="2:3" x14ac:dyDescent="0.25">
      <c r="B264" s="8">
        <v>26.6</v>
      </c>
      <c r="C264" s="8">
        <v>30.3</v>
      </c>
    </row>
    <row r="265" spans="2:3" x14ac:dyDescent="0.25">
      <c r="B265" s="8">
        <v>28.8</v>
      </c>
      <c r="C265" s="8">
        <v>30.3</v>
      </c>
    </row>
    <row r="266" spans="2:3" x14ac:dyDescent="0.25">
      <c r="B266" s="8">
        <v>30.3</v>
      </c>
      <c r="C266" s="8">
        <v>30.3</v>
      </c>
    </row>
    <row r="267" spans="2:3" x14ac:dyDescent="0.25">
      <c r="B267" s="8">
        <v>29.5</v>
      </c>
      <c r="C267" s="8">
        <v>30.4</v>
      </c>
    </row>
    <row r="268" spans="2:3" x14ac:dyDescent="0.25">
      <c r="B268" s="8">
        <v>29</v>
      </c>
      <c r="C268" s="8">
        <v>30.8</v>
      </c>
    </row>
    <row r="269" spans="2:3" x14ac:dyDescent="0.25">
      <c r="B269" s="8">
        <v>28.4</v>
      </c>
      <c r="C269" s="8">
        <v>31.2</v>
      </c>
    </row>
    <row r="270" spans="2:3" x14ac:dyDescent="0.25">
      <c r="B270" s="8">
        <v>28.3</v>
      </c>
      <c r="C270" s="8">
        <v>31.5</v>
      </c>
    </row>
    <row r="271" spans="2:3" x14ac:dyDescent="0.25">
      <c r="B271" s="8">
        <v>32</v>
      </c>
      <c r="C271" s="8">
        <v>31.9</v>
      </c>
    </row>
    <row r="272" spans="2:3" x14ac:dyDescent="0.25">
      <c r="B272" s="8">
        <v>31.5</v>
      </c>
      <c r="C272" s="8">
        <v>32</v>
      </c>
    </row>
  </sheetData>
  <sortState ref="C188:C227">
    <sortCondition ref="C188"/>
  </sortState>
  <mergeCells count="19">
    <mergeCell ref="B2:G3"/>
    <mergeCell ref="J231:K231"/>
    <mergeCell ref="E232:G232"/>
    <mergeCell ref="I242:J242"/>
    <mergeCell ref="J131:K131"/>
    <mergeCell ref="E132:G132"/>
    <mergeCell ref="I147:J147"/>
    <mergeCell ref="B185:E185"/>
    <mergeCell ref="B5:E5"/>
    <mergeCell ref="E42:G42"/>
    <mergeCell ref="B75:E75"/>
    <mergeCell ref="L8:M8"/>
    <mergeCell ref="L13:M13"/>
    <mergeCell ref="L188:M188"/>
    <mergeCell ref="L193:M193"/>
    <mergeCell ref="I51:J51"/>
    <mergeCell ref="J41:K41"/>
    <mergeCell ref="L78:M78"/>
    <mergeCell ref="L83:M83"/>
  </mergeCells>
  <phoneticPr fontId="5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6BDA6-38BF-4523-BCF7-D8629D3FE261}">
  <dimension ref="B2:J48"/>
  <sheetViews>
    <sheetView workbookViewId="0">
      <selection activeCell="B21" sqref="B21:D21"/>
    </sheetView>
  </sheetViews>
  <sheetFormatPr baseColWidth="10" defaultRowHeight="15" x14ac:dyDescent="0.25"/>
  <cols>
    <col min="1" max="1" width="11.42578125" customWidth="1"/>
    <col min="2" max="2" width="15.85546875" bestFit="1" customWidth="1"/>
    <col min="4" max="4" width="11.85546875" bestFit="1" customWidth="1"/>
    <col min="5" max="5" width="12" bestFit="1" customWidth="1"/>
    <col min="7" max="7" width="11.7109375" bestFit="1" customWidth="1"/>
  </cols>
  <sheetData>
    <row r="2" spans="2:8" x14ac:dyDescent="0.25">
      <c r="B2" s="161" t="s">
        <v>391</v>
      </c>
      <c r="C2" s="161"/>
      <c r="D2" s="161"/>
      <c r="E2" s="161"/>
      <c r="F2" s="161"/>
      <c r="G2" s="161"/>
      <c r="H2" s="161"/>
    </row>
    <row r="3" spans="2:8" x14ac:dyDescent="0.25">
      <c r="B3" s="161"/>
      <c r="C3" s="161"/>
      <c r="D3" s="161"/>
      <c r="E3" s="161"/>
      <c r="F3" s="161"/>
      <c r="G3" s="161"/>
      <c r="H3" s="161"/>
    </row>
    <row r="5" spans="2:8" ht="46.5" customHeight="1" x14ac:dyDescent="0.25">
      <c r="B5" s="168" t="s">
        <v>107</v>
      </c>
      <c r="C5" s="168"/>
      <c r="D5" s="168"/>
      <c r="E5" s="168"/>
      <c r="F5" s="168"/>
      <c r="G5" s="168"/>
      <c r="H5" s="168"/>
    </row>
    <row r="6" spans="2:8" x14ac:dyDescent="0.25">
      <c r="G6" s="27"/>
    </row>
    <row r="7" spans="2:8" x14ac:dyDescent="0.25">
      <c r="B7" s="43" t="s">
        <v>108</v>
      </c>
      <c r="C7" s="12">
        <v>750</v>
      </c>
    </row>
    <row r="8" spans="2:8" x14ac:dyDescent="0.25">
      <c r="B8" s="43" t="s">
        <v>109</v>
      </c>
      <c r="C8" s="12">
        <v>75</v>
      </c>
    </row>
    <row r="11" spans="2:8" x14ac:dyDescent="0.25">
      <c r="B11" s="157" t="s">
        <v>111</v>
      </c>
      <c r="C11" s="158"/>
      <c r="D11" s="157" t="s">
        <v>146</v>
      </c>
      <c r="E11" s="158"/>
      <c r="F11" s="157" t="s">
        <v>147</v>
      </c>
      <c r="G11" s="158"/>
    </row>
    <row r="12" spans="2:8" x14ac:dyDescent="0.25">
      <c r="B12" s="43" t="s">
        <v>112</v>
      </c>
      <c r="C12" s="12">
        <f>(750-$C$7)/$C$8</f>
        <v>0</v>
      </c>
      <c r="D12" s="43" t="s">
        <v>145</v>
      </c>
      <c r="E12" s="12">
        <f>(785-$C$7)/$C$8</f>
        <v>0.46666666666666667</v>
      </c>
      <c r="F12" s="43" t="s">
        <v>151</v>
      </c>
      <c r="G12" s="12">
        <f>(700-$C$7)/$C$8</f>
        <v>-0.66666666666666663</v>
      </c>
    </row>
    <row r="13" spans="2:8" x14ac:dyDescent="0.25">
      <c r="B13" s="43" t="s">
        <v>115</v>
      </c>
      <c r="C13" s="12">
        <f>_xlfn.NORM.S.DIST(C12,TRUE)</f>
        <v>0.5</v>
      </c>
      <c r="D13" s="43" t="s">
        <v>148</v>
      </c>
      <c r="E13" s="12">
        <f>_xlfn.NORM.S.DIST(E12,TRUE)</f>
        <v>0.67963080909872964</v>
      </c>
      <c r="F13" s="43" t="s">
        <v>152</v>
      </c>
      <c r="G13" s="12">
        <f>_xlfn.NORM.S.DIST(G12,TRUE)</f>
        <v>0.25249253754692291</v>
      </c>
    </row>
    <row r="14" spans="2:8" x14ac:dyDescent="0.25">
      <c r="B14" s="43" t="s">
        <v>113</v>
      </c>
      <c r="C14" s="12">
        <f>(850-$C$7)/$C$8</f>
        <v>1.3333333333333333</v>
      </c>
      <c r="D14" s="43" t="s">
        <v>149</v>
      </c>
      <c r="E14" s="12">
        <f>(800-$C$7)/$C$8</f>
        <v>0.66666666666666663</v>
      </c>
      <c r="F14" s="159">
        <f>1-G13</f>
        <v>0.74750746245307709</v>
      </c>
      <c r="G14" s="160"/>
    </row>
    <row r="15" spans="2:8" x14ac:dyDescent="0.25">
      <c r="B15" s="43" t="s">
        <v>114</v>
      </c>
      <c r="C15" s="12">
        <f>_xlfn.NORM.S.DIST(C14,TRUE)</f>
        <v>0.90878878027413212</v>
      </c>
      <c r="D15" s="43" t="s">
        <v>150</v>
      </c>
      <c r="E15" s="12">
        <f>_xlfn.NORM.S.DIST(E14,TRUE)</f>
        <v>0.74750746245307709</v>
      </c>
    </row>
    <row r="16" spans="2:8" x14ac:dyDescent="0.25">
      <c r="B16" s="43" t="s">
        <v>144</v>
      </c>
      <c r="C16" s="12">
        <f>C15-C13</f>
        <v>0.40878878027413212</v>
      </c>
      <c r="D16" s="43" t="s">
        <v>144</v>
      </c>
      <c r="E16" s="12">
        <f>E15-E13</f>
        <v>6.7876653354347449E-2</v>
      </c>
    </row>
    <row r="17" spans="2:8" x14ac:dyDescent="0.25">
      <c r="B17" s="159">
        <f>C16</f>
        <v>0.40878878027413212</v>
      </c>
      <c r="C17" s="160"/>
      <c r="D17" s="159">
        <f>E16</f>
        <v>6.7876653354347449E-2</v>
      </c>
      <c r="E17" s="160"/>
    </row>
    <row r="20" spans="2:8" x14ac:dyDescent="0.25">
      <c r="B20" s="36"/>
      <c r="C20" s="36"/>
      <c r="D20" s="36"/>
      <c r="E20" s="36"/>
    </row>
    <row r="21" spans="2:8" x14ac:dyDescent="0.25">
      <c r="B21" s="162" t="s">
        <v>125</v>
      </c>
      <c r="C21" s="162"/>
      <c r="D21" s="162"/>
      <c r="E21" s="36"/>
    </row>
    <row r="22" spans="2:8" x14ac:dyDescent="0.25">
      <c r="B22" s="39" t="s">
        <v>118</v>
      </c>
      <c r="C22" s="169">
        <v>10</v>
      </c>
      <c r="D22" s="169"/>
      <c r="E22" s="38"/>
    </row>
    <row r="23" spans="2:8" x14ac:dyDescent="0.25">
      <c r="B23" s="39" t="s">
        <v>33</v>
      </c>
      <c r="C23" s="169">
        <v>78</v>
      </c>
      <c r="D23" s="169"/>
      <c r="E23" s="38"/>
    </row>
    <row r="24" spans="2:8" x14ac:dyDescent="0.25">
      <c r="B24" s="44" t="s">
        <v>132</v>
      </c>
      <c r="C24" s="44" t="s">
        <v>121</v>
      </c>
      <c r="D24" s="44" t="s">
        <v>120</v>
      </c>
      <c r="E24" s="38"/>
    </row>
    <row r="25" spans="2:8" x14ac:dyDescent="0.25">
      <c r="B25" s="39" t="s">
        <v>119</v>
      </c>
      <c r="C25" s="40">
        <v>93</v>
      </c>
      <c r="D25" s="40">
        <f>(C25-$C$23)/$C$22</f>
        <v>1.5</v>
      </c>
      <c r="E25" s="38"/>
    </row>
    <row r="26" spans="2:8" x14ac:dyDescent="0.25">
      <c r="B26" s="39" t="s">
        <v>122</v>
      </c>
      <c r="C26" s="40">
        <v>62</v>
      </c>
      <c r="D26" s="40">
        <f>(C26-$C$23)/$C$22</f>
        <v>-1.6</v>
      </c>
      <c r="E26" s="38"/>
    </row>
    <row r="27" spans="2:8" x14ac:dyDescent="0.25">
      <c r="B27" s="39" t="s">
        <v>123</v>
      </c>
      <c r="C27" s="40">
        <f>(D27*$C$22)+$C$23</f>
        <v>72</v>
      </c>
      <c r="D27" s="40">
        <v>-0.6</v>
      </c>
      <c r="E27" s="38"/>
    </row>
    <row r="28" spans="2:8" x14ac:dyDescent="0.25">
      <c r="B28" s="39" t="s">
        <v>124</v>
      </c>
      <c r="C28" s="40">
        <f>(D28*$C$22)+$C$23</f>
        <v>90</v>
      </c>
      <c r="D28" s="40">
        <v>1.2</v>
      </c>
      <c r="E28" s="38"/>
    </row>
    <row r="29" spans="2:8" x14ac:dyDescent="0.25">
      <c r="B29" s="37"/>
      <c r="C29" s="38"/>
      <c r="D29" s="38"/>
      <c r="E29" s="38"/>
    </row>
    <row r="30" spans="2:8" x14ac:dyDescent="0.25">
      <c r="B30" s="162" t="s">
        <v>126</v>
      </c>
      <c r="C30" s="162"/>
      <c r="D30" s="162"/>
      <c r="E30" s="162"/>
      <c r="F30" s="162"/>
      <c r="G30" s="162"/>
      <c r="H30" s="162"/>
    </row>
    <row r="31" spans="2:8" x14ac:dyDescent="0.25">
      <c r="B31" s="44" t="s">
        <v>132</v>
      </c>
      <c r="C31" s="44" t="s">
        <v>116</v>
      </c>
      <c r="D31" s="44" t="s">
        <v>117</v>
      </c>
      <c r="E31" s="44" t="s">
        <v>129</v>
      </c>
      <c r="F31" s="44" t="s">
        <v>130</v>
      </c>
      <c r="G31" s="44" t="s">
        <v>131</v>
      </c>
      <c r="H31" s="44"/>
    </row>
    <row r="32" spans="2:8" x14ac:dyDescent="0.25">
      <c r="B32" s="39" t="s">
        <v>119</v>
      </c>
      <c r="C32" s="40">
        <v>-100</v>
      </c>
      <c r="D32" s="40">
        <v>-1.78</v>
      </c>
      <c r="E32" s="42">
        <f>_xlfn.NORM.S.DIST(C32,TRUE)</f>
        <v>0</v>
      </c>
      <c r="F32" s="42">
        <f>_xlfn.NORM.S.DIST(D32,TRUE)</f>
        <v>3.7537980348516783E-2</v>
      </c>
      <c r="G32" s="167">
        <f>F32-E32</f>
        <v>3.7537980348516783E-2</v>
      </c>
      <c r="H32" s="167"/>
    </row>
    <row r="33" spans="2:10" x14ac:dyDescent="0.25">
      <c r="B33" s="39" t="s">
        <v>122</v>
      </c>
      <c r="C33" s="40">
        <v>-100</v>
      </c>
      <c r="D33" s="40">
        <v>0.56000000000000005</v>
      </c>
      <c r="E33" s="42">
        <f t="shared" ref="E33:E38" si="0">_xlfn.NORM.S.DIST(C33,TRUE)</f>
        <v>0</v>
      </c>
      <c r="F33" s="42">
        <f t="shared" ref="F33:F38" si="1">_xlfn.NORM.S.DIST(D33,TRUE)</f>
        <v>0.71226028115097295</v>
      </c>
      <c r="G33" s="167">
        <f t="shared" ref="G33:G38" si="2">F33-E33</f>
        <v>0.71226028115097295</v>
      </c>
      <c r="H33" s="167"/>
    </row>
    <row r="34" spans="2:10" x14ac:dyDescent="0.25">
      <c r="B34" s="39" t="s">
        <v>123</v>
      </c>
      <c r="C34" s="40">
        <v>-1.45</v>
      </c>
      <c r="D34" s="40">
        <v>100</v>
      </c>
      <c r="E34" s="42">
        <f t="shared" si="0"/>
        <v>7.3529259609648373E-2</v>
      </c>
      <c r="F34" s="42">
        <f t="shared" si="1"/>
        <v>1</v>
      </c>
      <c r="G34" s="167">
        <f t="shared" si="2"/>
        <v>0.9264707403903516</v>
      </c>
      <c r="H34" s="167"/>
    </row>
    <row r="35" spans="2:10" x14ac:dyDescent="0.25">
      <c r="B35" s="39" t="s">
        <v>124</v>
      </c>
      <c r="C35" s="40">
        <v>2.16</v>
      </c>
      <c r="D35" s="40">
        <v>100</v>
      </c>
      <c r="E35" s="42">
        <f t="shared" si="0"/>
        <v>0.98461366521607452</v>
      </c>
      <c r="F35" s="42">
        <f t="shared" si="1"/>
        <v>1</v>
      </c>
      <c r="G35" s="167">
        <f t="shared" si="2"/>
        <v>1.5386334783925482E-2</v>
      </c>
      <c r="H35" s="167"/>
    </row>
    <row r="36" spans="2:10" x14ac:dyDescent="0.25">
      <c r="B36" s="39" t="s">
        <v>127</v>
      </c>
      <c r="C36" s="40">
        <v>-0.8</v>
      </c>
      <c r="D36" s="40">
        <v>1.53</v>
      </c>
      <c r="E36" s="42">
        <f t="shared" si="0"/>
        <v>0.21185539858339661</v>
      </c>
      <c r="F36" s="42">
        <f t="shared" si="1"/>
        <v>0.93699163553602161</v>
      </c>
      <c r="G36" s="167">
        <f t="shared" si="2"/>
        <v>0.72513623695262497</v>
      </c>
      <c r="H36" s="167"/>
    </row>
    <row r="37" spans="2:10" x14ac:dyDescent="0.25">
      <c r="B37" s="166" t="s">
        <v>128</v>
      </c>
      <c r="C37" s="40">
        <v>-100</v>
      </c>
      <c r="D37" s="40">
        <v>-2.52</v>
      </c>
      <c r="E37" s="42">
        <f t="shared" si="0"/>
        <v>0</v>
      </c>
      <c r="F37" s="42">
        <f t="shared" si="1"/>
        <v>5.8677417153325615E-3</v>
      </c>
      <c r="G37" s="41">
        <f t="shared" si="2"/>
        <v>5.8677417153325615E-3</v>
      </c>
      <c r="H37" s="167">
        <f>G37+G38</f>
        <v>3.9492711134960896E-2</v>
      </c>
    </row>
    <row r="38" spans="2:10" x14ac:dyDescent="0.25">
      <c r="B38" s="166"/>
      <c r="C38" s="40">
        <v>1.83</v>
      </c>
      <c r="D38" s="40">
        <v>100</v>
      </c>
      <c r="E38" s="42">
        <f t="shared" si="0"/>
        <v>0.96637503058037166</v>
      </c>
      <c r="F38" s="42">
        <f t="shared" si="1"/>
        <v>1</v>
      </c>
      <c r="G38" s="41">
        <f t="shared" si="2"/>
        <v>3.3624969419628337E-2</v>
      </c>
      <c r="H38" s="167"/>
    </row>
    <row r="40" spans="2:10" x14ac:dyDescent="0.25">
      <c r="B40" s="162" t="s">
        <v>133</v>
      </c>
      <c r="C40" s="162"/>
    </row>
    <row r="41" spans="2:10" x14ac:dyDescent="0.25">
      <c r="B41" s="43" t="s">
        <v>108</v>
      </c>
      <c r="C41" s="49">
        <v>5.0199999999999996</v>
      </c>
    </row>
    <row r="42" spans="2:10" x14ac:dyDescent="0.25">
      <c r="B42" s="43" t="s">
        <v>134</v>
      </c>
      <c r="C42" s="49">
        <v>0.3</v>
      </c>
    </row>
    <row r="43" spans="2:10" x14ac:dyDescent="0.25">
      <c r="B43" s="43" t="s">
        <v>135</v>
      </c>
      <c r="C43" s="17">
        <f>(0.3/SQRT(100))*SQRT((500-100)/(500-1))</f>
        <v>2.6859688862150715E-2</v>
      </c>
    </row>
    <row r="44" spans="2:10" x14ac:dyDescent="0.25">
      <c r="C44" s="45"/>
    </row>
    <row r="45" spans="2:10" x14ac:dyDescent="0.25">
      <c r="C45" s="46" t="s">
        <v>137</v>
      </c>
      <c r="D45" s="46" t="s">
        <v>136</v>
      </c>
      <c r="E45" s="46" t="s">
        <v>143</v>
      </c>
      <c r="F45" s="46" t="s">
        <v>138</v>
      </c>
      <c r="G45" s="46" t="s">
        <v>139</v>
      </c>
      <c r="H45" s="46" t="s">
        <v>140</v>
      </c>
      <c r="I45" s="46" t="s">
        <v>141</v>
      </c>
      <c r="J45" s="46" t="s">
        <v>131</v>
      </c>
    </row>
    <row r="46" spans="2:10" x14ac:dyDescent="0.25">
      <c r="B46" s="163" t="s">
        <v>110</v>
      </c>
      <c r="C46" s="12">
        <v>4.96</v>
      </c>
      <c r="D46" s="12">
        <f>(C46-$C$41)/$C$43</f>
        <v>-2.2338307903688528</v>
      </c>
      <c r="E46" s="12">
        <f>D46</f>
        <v>-2.2338307903688528</v>
      </c>
      <c r="F46" s="12">
        <v>0</v>
      </c>
      <c r="G46" s="47">
        <f t="shared" ref="G46:H48" si="3">_xlfn.NORM.S.DIST(E46,TRUE)</f>
        <v>1.2747104390834938E-2</v>
      </c>
      <c r="H46" s="47">
        <f t="shared" si="3"/>
        <v>0.5</v>
      </c>
      <c r="I46" s="50">
        <f>H46-G46</f>
        <v>0.48725289560916507</v>
      </c>
      <c r="J46" s="164">
        <f>I46-I47</f>
        <v>0.2155065763838746</v>
      </c>
    </row>
    <row r="47" spans="2:10" x14ac:dyDescent="0.25">
      <c r="B47" s="163"/>
      <c r="C47" s="12">
        <v>5</v>
      </c>
      <c r="D47" s="12">
        <f>(C47-$C$41)/$C$43</f>
        <v>-0.74461026345627335</v>
      </c>
      <c r="E47" s="12">
        <f>D47</f>
        <v>-0.74461026345627335</v>
      </c>
      <c r="F47" s="12">
        <v>0</v>
      </c>
      <c r="G47" s="47">
        <f t="shared" si="3"/>
        <v>0.22825368077470956</v>
      </c>
      <c r="H47" s="47">
        <f t="shared" si="3"/>
        <v>0.5</v>
      </c>
      <c r="I47" s="50">
        <f>H47-G47</f>
        <v>0.27174631922529047</v>
      </c>
      <c r="J47" s="165"/>
    </row>
    <row r="48" spans="2:10" x14ac:dyDescent="0.25">
      <c r="B48" s="48" t="s">
        <v>142</v>
      </c>
      <c r="C48" s="12">
        <v>5.0999999999999996</v>
      </c>
      <c r="D48" s="12">
        <f>(C48-$C$41)/$C$43</f>
        <v>2.9784410538251596</v>
      </c>
      <c r="E48" s="12">
        <f>D48</f>
        <v>2.9784410538251596</v>
      </c>
      <c r="F48" s="12">
        <v>100</v>
      </c>
      <c r="G48" s="51">
        <f t="shared" si="3"/>
        <v>0.99855140624625272</v>
      </c>
      <c r="H48" s="47">
        <f t="shared" si="3"/>
        <v>1</v>
      </c>
      <c r="I48" s="50">
        <f>H48-G48</f>
        <v>1.4485937537472848E-3</v>
      </c>
      <c r="J48" s="52">
        <f>I48</f>
        <v>1.4485937537472848E-3</v>
      </c>
    </row>
  </sheetData>
  <mergeCells count="22">
    <mergeCell ref="B2:H3"/>
    <mergeCell ref="B40:C40"/>
    <mergeCell ref="B46:B47"/>
    <mergeCell ref="J46:J47"/>
    <mergeCell ref="B37:B38"/>
    <mergeCell ref="H37:H38"/>
    <mergeCell ref="G32:H32"/>
    <mergeCell ref="G33:H33"/>
    <mergeCell ref="G34:H34"/>
    <mergeCell ref="G35:H35"/>
    <mergeCell ref="G36:H36"/>
    <mergeCell ref="B5:H5"/>
    <mergeCell ref="B21:D21"/>
    <mergeCell ref="C22:D22"/>
    <mergeCell ref="C23:D23"/>
    <mergeCell ref="B30:H30"/>
    <mergeCell ref="B11:C11"/>
    <mergeCell ref="D11:E11"/>
    <mergeCell ref="F11:G11"/>
    <mergeCell ref="D17:E17"/>
    <mergeCell ref="B17:C17"/>
    <mergeCell ref="F14:G14"/>
  </mergeCells>
  <phoneticPr fontId="5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9A0FC-C23E-4AE2-8038-EC0F1E399E77}">
  <dimension ref="B1:I20"/>
  <sheetViews>
    <sheetView workbookViewId="0">
      <selection activeCell="E20" sqref="E20"/>
    </sheetView>
  </sheetViews>
  <sheetFormatPr baseColWidth="10" defaultRowHeight="15" x14ac:dyDescent="0.25"/>
  <cols>
    <col min="2" max="2" width="12.7109375" customWidth="1"/>
    <col min="4" max="4" width="13.5703125" bestFit="1" customWidth="1"/>
  </cols>
  <sheetData>
    <row r="1" spans="2:9" x14ac:dyDescent="0.25">
      <c r="B1" s="170" t="s">
        <v>392</v>
      </c>
      <c r="C1" s="170"/>
      <c r="D1" s="170"/>
      <c r="E1" s="170"/>
      <c r="F1" s="170"/>
      <c r="G1" s="170"/>
    </row>
    <row r="2" spans="2:9" x14ac:dyDescent="0.25">
      <c r="B2" s="170"/>
      <c r="C2" s="170"/>
      <c r="D2" s="170"/>
      <c r="E2" s="170"/>
      <c r="F2" s="170"/>
      <c r="G2" s="170"/>
    </row>
    <row r="4" spans="2:9" x14ac:dyDescent="0.25">
      <c r="B4" s="145" t="s">
        <v>153</v>
      </c>
      <c r="C4" s="12">
        <v>4</v>
      </c>
    </row>
    <row r="5" spans="2:9" ht="28.5" customHeight="1" x14ac:dyDescent="0.25">
      <c r="B5" s="55" t="s">
        <v>154</v>
      </c>
      <c r="C5" s="12">
        <v>95</v>
      </c>
    </row>
    <row r="7" spans="2:9" x14ac:dyDescent="0.25">
      <c r="B7" s="53" t="s">
        <v>155</v>
      </c>
      <c r="C7" s="12">
        <f>2.776</f>
        <v>2.7759999999999998</v>
      </c>
    </row>
    <row r="10" spans="2:9" x14ac:dyDescent="0.25">
      <c r="B10" s="174" t="s">
        <v>156</v>
      </c>
      <c r="C10" s="174"/>
    </row>
    <row r="11" spans="2:9" x14ac:dyDescent="0.25">
      <c r="B11" s="54" t="s">
        <v>157</v>
      </c>
      <c r="C11" s="12">
        <f>30-1</f>
        <v>29</v>
      </c>
    </row>
    <row r="12" spans="2:9" x14ac:dyDescent="0.25">
      <c r="B12" s="54" t="s">
        <v>158</v>
      </c>
      <c r="C12" s="12">
        <v>2.0449999999999999</v>
      </c>
    </row>
    <row r="14" spans="2:9" x14ac:dyDescent="0.25">
      <c r="B14" s="174" t="s">
        <v>159</v>
      </c>
      <c r="C14" s="174"/>
      <c r="D14" s="174" t="s">
        <v>110</v>
      </c>
      <c r="E14" s="174"/>
      <c r="F14" s="171" t="s">
        <v>142</v>
      </c>
      <c r="G14" s="172"/>
      <c r="H14" s="172" t="s">
        <v>169</v>
      </c>
      <c r="I14" s="172"/>
    </row>
    <row r="15" spans="2:9" x14ac:dyDescent="0.25">
      <c r="B15" s="56" t="s">
        <v>160</v>
      </c>
      <c r="C15" s="12">
        <v>18</v>
      </c>
      <c r="D15" s="54" t="s">
        <v>165</v>
      </c>
      <c r="E15" s="57">
        <v>0.95</v>
      </c>
      <c r="F15" s="173" t="s">
        <v>168</v>
      </c>
      <c r="G15" s="173"/>
      <c r="H15" s="173" t="s">
        <v>170</v>
      </c>
      <c r="I15" s="173"/>
    </row>
    <row r="16" spans="2:9" x14ac:dyDescent="0.25">
      <c r="B16" s="54" t="s">
        <v>161</v>
      </c>
      <c r="C16" s="12">
        <f>C15-1</f>
        <v>17</v>
      </c>
      <c r="D16" s="58" t="s">
        <v>155</v>
      </c>
      <c r="E16" s="59">
        <v>2.11</v>
      </c>
      <c r="F16" s="173"/>
      <c r="G16" s="173"/>
      <c r="H16" s="173"/>
      <c r="I16" s="173"/>
    </row>
    <row r="17" spans="2:9" x14ac:dyDescent="0.25">
      <c r="B17" s="54" t="s">
        <v>108</v>
      </c>
      <c r="C17" s="12">
        <v>195.3</v>
      </c>
      <c r="D17" s="54" t="s">
        <v>163</v>
      </c>
      <c r="E17" s="54" t="s">
        <v>162</v>
      </c>
      <c r="F17" s="173"/>
      <c r="G17" s="173"/>
      <c r="H17" s="173"/>
      <c r="I17" s="173"/>
    </row>
    <row r="18" spans="2:9" x14ac:dyDescent="0.25">
      <c r="B18" s="54" t="s">
        <v>109</v>
      </c>
      <c r="C18" s="12">
        <v>21.4</v>
      </c>
      <c r="D18" s="12">
        <f>$C$17-($E$16*($C$18/($C$15^0.5)))</f>
        <v>184.65710013410089</v>
      </c>
      <c r="E18" s="12">
        <f>$C$17+($E$16*($C$18/($C$15^0.5)))</f>
        <v>205.94289986589914</v>
      </c>
      <c r="F18" s="173"/>
      <c r="G18" s="173"/>
      <c r="H18" s="173"/>
      <c r="I18" s="173"/>
    </row>
    <row r="19" spans="2:9" x14ac:dyDescent="0.25">
      <c r="B19" s="54" t="s">
        <v>164</v>
      </c>
      <c r="C19" s="12">
        <v>0.05</v>
      </c>
      <c r="D19" s="54" t="s">
        <v>167</v>
      </c>
      <c r="E19" s="60">
        <f>_xlfn.CONFIDENCE.T(C19,C18,C15)</f>
        <v>10.641969635257862</v>
      </c>
      <c r="F19" s="173"/>
      <c r="G19" s="173"/>
      <c r="H19" s="173"/>
      <c r="I19" s="173"/>
    </row>
    <row r="20" spans="2:9" x14ac:dyDescent="0.25">
      <c r="C20" s="54" t="s">
        <v>166</v>
      </c>
      <c r="D20" s="12">
        <f>C17-E19</f>
        <v>184.65803036474216</v>
      </c>
      <c r="E20" s="12">
        <f>C17+E19</f>
        <v>205.94196963525786</v>
      </c>
      <c r="F20" s="173"/>
      <c r="G20" s="173"/>
      <c r="H20" s="173"/>
      <c r="I20" s="173"/>
    </row>
  </sheetData>
  <mergeCells count="8">
    <mergeCell ref="B1:G2"/>
    <mergeCell ref="F14:G14"/>
    <mergeCell ref="F15:G20"/>
    <mergeCell ref="H14:I14"/>
    <mergeCell ref="H15:I20"/>
    <mergeCell ref="B10:C10"/>
    <mergeCell ref="B14:C14"/>
    <mergeCell ref="D14:E1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80B38-77F9-49B0-BAE2-455A553C79FB}">
  <dimension ref="B2:M128"/>
  <sheetViews>
    <sheetView tabSelected="1" topLeftCell="A110" zoomScale="114" workbookViewId="0">
      <selection activeCell="B2" sqref="B2:I3"/>
    </sheetView>
  </sheetViews>
  <sheetFormatPr baseColWidth="10" defaultRowHeight="15" x14ac:dyDescent="0.25"/>
  <sheetData>
    <row r="2" spans="2:9" x14ac:dyDescent="0.25">
      <c r="B2" s="175" t="s">
        <v>393</v>
      </c>
      <c r="C2" s="175"/>
      <c r="D2" s="175"/>
      <c r="E2" s="175"/>
      <c r="F2" s="175"/>
      <c r="G2" s="175"/>
      <c r="H2" s="175"/>
      <c r="I2" s="175"/>
    </row>
    <row r="3" spans="2:9" x14ac:dyDescent="0.25">
      <c r="B3" s="175"/>
      <c r="C3" s="175"/>
      <c r="D3" s="175"/>
      <c r="E3" s="175"/>
      <c r="F3" s="175"/>
      <c r="G3" s="175"/>
      <c r="H3" s="175"/>
      <c r="I3" s="175"/>
    </row>
    <row r="11" spans="2:9" x14ac:dyDescent="0.25">
      <c r="B11" s="61" t="s">
        <v>108</v>
      </c>
      <c r="C11" s="12">
        <v>1800</v>
      </c>
      <c r="E11" s="61" t="s">
        <v>162</v>
      </c>
      <c r="F11" s="61" t="s">
        <v>163</v>
      </c>
    </row>
    <row r="12" spans="2:9" x14ac:dyDescent="0.25">
      <c r="B12" s="61" t="s">
        <v>109</v>
      </c>
      <c r="C12" s="12">
        <v>100</v>
      </c>
      <c r="E12" s="12">
        <f>C18-(C17*(C12/SQRT(C14)))</f>
        <v>1812.1303306481295</v>
      </c>
      <c r="F12" s="12">
        <f>C18+(C17*(C12/SQRT(C14)))</f>
        <v>1887.8696693518705</v>
      </c>
    </row>
    <row r="14" spans="2:9" ht="15" customHeight="1" x14ac:dyDescent="0.25">
      <c r="B14" s="61" t="s">
        <v>160</v>
      </c>
      <c r="C14" s="12">
        <v>50</v>
      </c>
      <c r="E14" s="178" t="s">
        <v>178</v>
      </c>
      <c r="F14" s="178"/>
      <c r="G14" s="66"/>
      <c r="H14" s="65"/>
    </row>
    <row r="15" spans="2:9" x14ac:dyDescent="0.25">
      <c r="B15" s="61" t="s">
        <v>171</v>
      </c>
      <c r="C15" s="12">
        <v>0.01</v>
      </c>
      <c r="E15" s="178"/>
      <c r="F15" s="178"/>
      <c r="G15" s="66"/>
      <c r="H15" s="65"/>
    </row>
    <row r="16" spans="2:9" x14ac:dyDescent="0.25">
      <c r="B16" s="61" t="s">
        <v>176</v>
      </c>
      <c r="C16" s="12">
        <f>C15/2</f>
        <v>5.0000000000000001E-3</v>
      </c>
      <c r="E16" s="178"/>
      <c r="F16" s="178"/>
      <c r="G16" s="66"/>
      <c r="H16" s="65"/>
    </row>
    <row r="17" spans="2:8" x14ac:dyDescent="0.25">
      <c r="B17" s="61" t="s">
        <v>136</v>
      </c>
      <c r="C17" s="12">
        <v>2.6777899999999999</v>
      </c>
      <c r="E17" s="178"/>
      <c r="F17" s="178"/>
      <c r="G17" s="66"/>
      <c r="H17" s="65"/>
    </row>
    <row r="18" spans="2:8" x14ac:dyDescent="0.25">
      <c r="B18" s="61" t="s">
        <v>173</v>
      </c>
      <c r="C18" s="8">
        <v>1850</v>
      </c>
      <c r="E18" s="178"/>
      <c r="F18" s="178"/>
      <c r="G18" s="66"/>
      <c r="H18" s="65"/>
    </row>
    <row r="26" spans="2:8" x14ac:dyDescent="0.25">
      <c r="B26" s="61" t="s">
        <v>108</v>
      </c>
      <c r="C26" s="12">
        <f>AVERAGE(B35:F44)</f>
        <v>304.45999999999998</v>
      </c>
      <c r="E26" s="61" t="s">
        <v>136</v>
      </c>
      <c r="F26" s="61" t="s">
        <v>162</v>
      </c>
      <c r="G26" s="61" t="s">
        <v>163</v>
      </c>
    </row>
    <row r="27" spans="2:8" x14ac:dyDescent="0.25">
      <c r="B27" s="61" t="s">
        <v>109</v>
      </c>
      <c r="C27" s="12">
        <f>_xlfn.STDEV.S(B35:F44)</f>
        <v>101.50826044601251</v>
      </c>
      <c r="E27" s="12">
        <v>2.0085600000000001</v>
      </c>
      <c r="F27" s="12">
        <f>C26-(E27*(C27/SQRT(C29)))</f>
        <v>275.62624574589472</v>
      </c>
      <c r="G27" s="12">
        <f>C26+(E27*(C27/SQRT(C29)))</f>
        <v>333.29375425410524</v>
      </c>
    </row>
    <row r="29" spans="2:8" x14ac:dyDescent="0.25">
      <c r="B29" s="61" t="s">
        <v>160</v>
      </c>
      <c r="C29" s="12">
        <v>50</v>
      </c>
      <c r="E29" s="168" t="s">
        <v>177</v>
      </c>
      <c r="F29" s="168"/>
      <c r="G29" s="168"/>
    </row>
    <row r="30" spans="2:8" x14ac:dyDescent="0.25">
      <c r="B30" s="61" t="s">
        <v>164</v>
      </c>
      <c r="C30" s="12">
        <v>0.05</v>
      </c>
      <c r="E30" s="168"/>
      <c r="F30" s="168"/>
      <c r="G30" s="168"/>
    </row>
    <row r="31" spans="2:8" x14ac:dyDescent="0.25">
      <c r="B31" s="61" t="s">
        <v>176</v>
      </c>
      <c r="C31" s="12">
        <f>C30/2</f>
        <v>2.5000000000000001E-2</v>
      </c>
      <c r="E31" s="168"/>
      <c r="F31" s="168"/>
      <c r="G31" s="168"/>
    </row>
    <row r="32" spans="2:8" x14ac:dyDescent="0.25">
      <c r="B32" s="61" t="s">
        <v>172</v>
      </c>
      <c r="C32" s="12">
        <v>2.5100000000000001E-2</v>
      </c>
      <c r="E32" s="168"/>
      <c r="F32" s="168"/>
      <c r="G32" s="168"/>
    </row>
    <row r="33" spans="2:7" x14ac:dyDescent="0.25">
      <c r="B33" s="61" t="s">
        <v>173</v>
      </c>
      <c r="C33" s="12">
        <v>325</v>
      </c>
      <c r="E33" s="168"/>
      <c r="F33" s="168"/>
      <c r="G33" s="168"/>
    </row>
    <row r="35" spans="2:7" x14ac:dyDescent="0.25">
      <c r="B35" s="12">
        <v>418</v>
      </c>
      <c r="C35" s="12">
        <v>379</v>
      </c>
      <c r="D35" s="12">
        <v>77</v>
      </c>
      <c r="E35" s="12">
        <v>212</v>
      </c>
      <c r="F35" s="12">
        <v>378</v>
      </c>
    </row>
    <row r="36" spans="2:7" x14ac:dyDescent="0.25">
      <c r="B36" s="12">
        <v>363</v>
      </c>
      <c r="C36" s="12">
        <v>434</v>
      </c>
      <c r="D36" s="12">
        <v>348</v>
      </c>
      <c r="E36" s="12">
        <v>245</v>
      </c>
      <c r="F36" s="12">
        <v>341</v>
      </c>
    </row>
    <row r="37" spans="2:7" x14ac:dyDescent="0.25">
      <c r="B37" s="12">
        <v>331</v>
      </c>
      <c r="C37" s="12">
        <v>356</v>
      </c>
      <c r="D37" s="12">
        <v>423</v>
      </c>
      <c r="E37" s="12">
        <v>330</v>
      </c>
      <c r="F37" s="12">
        <v>247</v>
      </c>
    </row>
    <row r="38" spans="2:7" x14ac:dyDescent="0.25">
      <c r="B38" s="12">
        <v>351</v>
      </c>
      <c r="C38" s="12">
        <v>151</v>
      </c>
      <c r="D38" s="12">
        <v>220</v>
      </c>
      <c r="E38" s="12">
        <v>383</v>
      </c>
      <c r="F38" s="12">
        <v>257</v>
      </c>
    </row>
    <row r="39" spans="2:7" x14ac:dyDescent="0.25">
      <c r="B39" s="12">
        <v>307</v>
      </c>
      <c r="C39" s="12">
        <v>297</v>
      </c>
      <c r="D39" s="12">
        <v>448</v>
      </c>
      <c r="E39" s="12">
        <v>391</v>
      </c>
      <c r="F39" s="12">
        <v>210</v>
      </c>
    </row>
    <row r="40" spans="2:7" x14ac:dyDescent="0.25">
      <c r="B40" s="12">
        <v>158</v>
      </c>
      <c r="C40" s="12">
        <v>310</v>
      </c>
      <c r="D40" s="12">
        <v>331</v>
      </c>
      <c r="E40" s="12">
        <v>348</v>
      </c>
      <c r="F40" s="12">
        <v>124</v>
      </c>
    </row>
    <row r="41" spans="2:7" x14ac:dyDescent="0.25">
      <c r="B41" s="12">
        <v>523</v>
      </c>
      <c r="C41" s="12">
        <v>356</v>
      </c>
      <c r="D41" s="12">
        <v>210</v>
      </c>
      <c r="E41" s="12">
        <v>364</v>
      </c>
      <c r="F41" s="12">
        <v>406</v>
      </c>
    </row>
    <row r="42" spans="2:7" x14ac:dyDescent="0.25">
      <c r="B42" s="12">
        <v>331</v>
      </c>
      <c r="C42" s="12">
        <v>364</v>
      </c>
      <c r="D42" s="12">
        <v>352</v>
      </c>
      <c r="E42" s="12">
        <v>299</v>
      </c>
      <c r="F42" s="12">
        <v>221</v>
      </c>
    </row>
    <row r="43" spans="2:7" x14ac:dyDescent="0.25">
      <c r="B43" s="12">
        <v>466</v>
      </c>
      <c r="C43" s="12">
        <v>150</v>
      </c>
      <c r="D43" s="12">
        <v>282</v>
      </c>
      <c r="E43" s="12">
        <v>221</v>
      </c>
      <c r="F43" s="12">
        <v>432</v>
      </c>
    </row>
    <row r="44" spans="2:7" x14ac:dyDescent="0.25">
      <c r="B44" s="12">
        <v>366</v>
      </c>
      <c r="C44" s="12">
        <v>195</v>
      </c>
      <c r="D44" s="12">
        <v>96</v>
      </c>
      <c r="E44" s="12">
        <v>219</v>
      </c>
      <c r="F44" s="12">
        <v>202</v>
      </c>
    </row>
    <row r="50" spans="2:12" x14ac:dyDescent="0.25">
      <c r="B50" s="61" t="s">
        <v>108</v>
      </c>
      <c r="C50" s="12">
        <v>28.3</v>
      </c>
      <c r="F50" s="61" t="s">
        <v>176</v>
      </c>
      <c r="G50" s="61" t="s">
        <v>136</v>
      </c>
      <c r="H50" s="61" t="s">
        <v>162</v>
      </c>
      <c r="I50" s="61" t="s">
        <v>163</v>
      </c>
      <c r="K50" s="168" t="s">
        <v>179</v>
      </c>
      <c r="L50" s="168"/>
    </row>
    <row r="51" spans="2:12" x14ac:dyDescent="0.25">
      <c r="B51" s="61" t="s">
        <v>109</v>
      </c>
      <c r="C51" s="12">
        <v>4.5</v>
      </c>
      <c r="E51" s="62">
        <v>0.9</v>
      </c>
      <c r="F51" s="64">
        <f>(1-E51)/2</f>
        <v>4.9999999999999989E-2</v>
      </c>
      <c r="G51" s="12">
        <v>1.6602300000000001</v>
      </c>
      <c r="H51" s="12">
        <f>$C$50-(G51*($C$51/SQRT($C$53)))</f>
        <v>27.552896499999999</v>
      </c>
      <c r="I51" s="12">
        <f>$C$50+(G51*($C$51/SQRT($C$53)))</f>
        <v>29.047103500000002</v>
      </c>
      <c r="K51" s="168"/>
      <c r="L51" s="168"/>
    </row>
    <row r="52" spans="2:12" x14ac:dyDescent="0.25">
      <c r="E52" s="62">
        <v>0.95</v>
      </c>
      <c r="F52" s="64">
        <f>(1-E52)/2</f>
        <v>2.5000000000000022E-2</v>
      </c>
      <c r="G52" s="12">
        <v>1.98397</v>
      </c>
      <c r="H52" s="12">
        <f>$C$50-(G52*($C$51/SQRT($C$53)))</f>
        <v>27.407213500000001</v>
      </c>
      <c r="I52" s="12">
        <f>$C$50+(G52*($C$51/SQRT($C$53)))</f>
        <v>29.1927865</v>
      </c>
      <c r="K52" s="168"/>
      <c r="L52" s="168"/>
    </row>
    <row r="53" spans="2:12" x14ac:dyDescent="0.25">
      <c r="B53" s="61" t="s">
        <v>160</v>
      </c>
      <c r="C53" s="12">
        <v>100</v>
      </c>
      <c r="E53" s="62">
        <v>0.99</v>
      </c>
      <c r="F53" s="64">
        <f>(1-E53)/2</f>
        <v>5.0000000000000044E-3</v>
      </c>
      <c r="G53" s="12">
        <v>2.6258900000000001</v>
      </c>
      <c r="H53" s="12">
        <f>$C$50-(G53*($C$51/SQRT($C$53)))</f>
        <v>27.118349500000001</v>
      </c>
      <c r="I53" s="12">
        <f>$C$50+(G53*($C$51/SQRT($C$53)))</f>
        <v>29.481650500000001</v>
      </c>
      <c r="K53" s="168"/>
      <c r="L53" s="168"/>
    </row>
    <row r="54" spans="2:12" x14ac:dyDescent="0.25">
      <c r="E54" s="63">
        <v>0.997</v>
      </c>
      <c r="F54" s="64">
        <f>(1-E54)/2</f>
        <v>1.5000000000000013E-3</v>
      </c>
      <c r="G54" s="12">
        <v>3.0421800000000001</v>
      </c>
      <c r="H54" s="12">
        <f>$C$50-(G54*($C$51/SQRT($C$53)))</f>
        <v>26.931018999999999</v>
      </c>
      <c r="I54" s="12">
        <f>$C$50+(G54*($C$51/SQRT($C$53)))</f>
        <v>29.668981000000002</v>
      </c>
      <c r="K54" s="168"/>
      <c r="L54" s="168"/>
    </row>
    <row r="61" spans="2:12" x14ac:dyDescent="0.25">
      <c r="B61" s="61" t="s">
        <v>108</v>
      </c>
      <c r="C61" s="12">
        <v>4.8</v>
      </c>
      <c r="F61" s="61" t="s">
        <v>176</v>
      </c>
      <c r="G61" s="61" t="s">
        <v>136</v>
      </c>
      <c r="H61" s="61" t="s">
        <v>162</v>
      </c>
      <c r="I61" s="61" t="s">
        <v>163</v>
      </c>
    </row>
    <row r="62" spans="2:12" x14ac:dyDescent="0.25">
      <c r="B62" s="61" t="s">
        <v>109</v>
      </c>
      <c r="C62" s="12">
        <v>2.6</v>
      </c>
      <c r="E62" s="62">
        <v>0.9</v>
      </c>
      <c r="F62" s="64">
        <f>(1-E62)/2</f>
        <v>4.9999999999999989E-2</v>
      </c>
      <c r="G62" s="12">
        <v>1.6550800000000001</v>
      </c>
      <c r="H62" s="12">
        <f>$C$61-(G62*($C$62/SQRT($C$64)))</f>
        <v>4.4486445380979163</v>
      </c>
      <c r="I62" s="12">
        <f>$C$61+(G62*($C$62/SQRT($C$64)))</f>
        <v>5.1513554619020834</v>
      </c>
    </row>
    <row r="64" spans="2:12" x14ac:dyDescent="0.25">
      <c r="B64" s="61" t="s">
        <v>160</v>
      </c>
      <c r="C64" s="12">
        <v>150</v>
      </c>
    </row>
    <row r="72" spans="2:8" x14ac:dyDescent="0.25">
      <c r="B72" s="61" t="s">
        <v>108</v>
      </c>
      <c r="C72" s="12">
        <v>0</v>
      </c>
      <c r="F72" s="61" t="s">
        <v>155</v>
      </c>
      <c r="G72" s="61" t="s">
        <v>162</v>
      </c>
      <c r="H72" s="61" t="s">
        <v>163</v>
      </c>
    </row>
    <row r="73" spans="2:8" x14ac:dyDescent="0.25">
      <c r="B73" s="61" t="s">
        <v>109</v>
      </c>
      <c r="C73" s="12">
        <v>5</v>
      </c>
      <c r="E73" s="62">
        <v>0.95</v>
      </c>
      <c r="F73" s="12">
        <v>2.4470000000000001</v>
      </c>
      <c r="G73" s="12">
        <f>$C$72-(F73*($C$73/SQRT($C$75)))</f>
        <v>-4.6243953272678953</v>
      </c>
      <c r="H73" s="12">
        <f>$C$72+(F73*($C$73/SQRT($C$75)))</f>
        <v>4.6243953272678953</v>
      </c>
    </row>
    <row r="75" spans="2:8" x14ac:dyDescent="0.25">
      <c r="B75" s="61" t="s">
        <v>160</v>
      </c>
      <c r="C75" s="12">
        <v>7</v>
      </c>
    </row>
    <row r="81" spans="2:8" x14ac:dyDescent="0.25">
      <c r="B81" s="61" t="s">
        <v>108</v>
      </c>
      <c r="C81" s="12">
        <v>6.5</v>
      </c>
      <c r="F81" s="61" t="s">
        <v>155</v>
      </c>
      <c r="G81" s="61" t="s">
        <v>162</v>
      </c>
      <c r="H81" s="61" t="s">
        <v>163</v>
      </c>
    </row>
    <row r="82" spans="2:8" x14ac:dyDescent="0.25">
      <c r="B82" s="61" t="s">
        <v>109</v>
      </c>
      <c r="C82" s="12">
        <v>1.7</v>
      </c>
      <c r="E82" s="62">
        <v>0.95</v>
      </c>
      <c r="F82" s="12">
        <v>2.0640000000000001</v>
      </c>
      <c r="G82" s="12">
        <f>$C$81-(F82*($C$82/SQRT($C$84)))</f>
        <v>5.7982399999999998</v>
      </c>
      <c r="H82" s="12">
        <f>$C$81+(F82*($C$82/SQRT($C$84)))</f>
        <v>7.2017600000000002</v>
      </c>
    </row>
    <row r="84" spans="2:8" x14ac:dyDescent="0.25">
      <c r="B84" s="61" t="s">
        <v>160</v>
      </c>
      <c r="C84" s="12">
        <v>25</v>
      </c>
    </row>
    <row r="89" spans="2:8" x14ac:dyDescent="0.25">
      <c r="B89" s="61" t="s">
        <v>108</v>
      </c>
      <c r="C89" s="12">
        <v>438</v>
      </c>
      <c r="F89" s="61" t="s">
        <v>155</v>
      </c>
      <c r="G89" s="61" t="s">
        <v>162</v>
      </c>
      <c r="H89" s="61" t="s">
        <v>163</v>
      </c>
    </row>
    <row r="90" spans="2:8" x14ac:dyDescent="0.25">
      <c r="B90" s="61" t="s">
        <v>109</v>
      </c>
      <c r="C90" s="12">
        <v>0.06</v>
      </c>
      <c r="E90" s="62">
        <v>0.95</v>
      </c>
      <c r="F90" s="12">
        <v>2.262</v>
      </c>
      <c r="G90" s="12">
        <f>$C$89-(F90*($C$90/SQRT($C$92)))</f>
        <v>437.95708156759622</v>
      </c>
      <c r="H90" s="12">
        <f>$C$89+(F90*($C$90/SQRT($C$92)))</f>
        <v>438.04291843240378</v>
      </c>
    </row>
    <row r="91" spans="2:8" x14ac:dyDescent="0.25">
      <c r="E91" s="62">
        <v>0.99</v>
      </c>
      <c r="F91" s="12">
        <v>3.25</v>
      </c>
      <c r="G91" s="12">
        <f>$C$89-(F91*($C$90/SQRT($C$92)))</f>
        <v>437.9383355856267</v>
      </c>
      <c r="H91" s="12">
        <f>$C$89+(F91*($C$90/SQRT($C$92)))</f>
        <v>438.0616644143733</v>
      </c>
    </row>
    <row r="92" spans="2:8" x14ac:dyDescent="0.25">
      <c r="B92" s="61" t="s">
        <v>160</v>
      </c>
      <c r="C92" s="12">
        <v>10</v>
      </c>
    </row>
    <row r="101" spans="2:12" x14ac:dyDescent="0.25">
      <c r="B101" s="176" t="s">
        <v>137</v>
      </c>
      <c r="C101" s="177"/>
      <c r="F101" s="61" t="s">
        <v>176</v>
      </c>
      <c r="G101" s="61" t="s">
        <v>136</v>
      </c>
      <c r="H101" s="61" t="s">
        <v>162</v>
      </c>
      <c r="I101" s="61" t="s">
        <v>163</v>
      </c>
    </row>
    <row r="102" spans="2:12" x14ac:dyDescent="0.25">
      <c r="B102" s="61" t="s">
        <v>108</v>
      </c>
      <c r="C102" s="12">
        <v>8</v>
      </c>
      <c r="E102" s="62">
        <v>0.95</v>
      </c>
      <c r="F102" s="64">
        <f>(1-E102)/2</f>
        <v>2.5000000000000022E-2</v>
      </c>
      <c r="G102" s="12">
        <v>1.99444</v>
      </c>
      <c r="H102" s="12">
        <f>$C$102-(G102*($C$103/SQRT($C$105)))</f>
        <v>7.9284856475719732</v>
      </c>
      <c r="I102" s="12">
        <f>$C$102+(G102*($C$103/SQRT($C$105)))</f>
        <v>8.0715143524280268</v>
      </c>
      <c r="K102" s="168" t="s">
        <v>180</v>
      </c>
      <c r="L102" s="168"/>
    </row>
    <row r="103" spans="2:12" x14ac:dyDescent="0.25">
      <c r="B103" s="61" t="s">
        <v>109</v>
      </c>
      <c r="C103" s="12">
        <v>0.3</v>
      </c>
      <c r="K103" s="168"/>
      <c r="L103" s="168"/>
    </row>
    <row r="104" spans="2:12" x14ac:dyDescent="0.25">
      <c r="K104" s="168"/>
      <c r="L104" s="168"/>
    </row>
    <row r="105" spans="2:12" x14ac:dyDescent="0.25">
      <c r="B105" s="61" t="s">
        <v>160</v>
      </c>
      <c r="C105" s="12">
        <v>70</v>
      </c>
      <c r="K105" s="168"/>
      <c r="L105" s="168"/>
    </row>
    <row r="107" spans="2:12" x14ac:dyDescent="0.25">
      <c r="B107" s="176" t="s">
        <v>174</v>
      </c>
      <c r="C107" s="177"/>
      <c r="E107" s="62">
        <v>0.99</v>
      </c>
      <c r="F107" s="64">
        <f>(1-E107)/2</f>
        <v>5.0000000000000044E-3</v>
      </c>
      <c r="G107" s="12">
        <v>2.6478999999999999</v>
      </c>
      <c r="H107" s="12">
        <f>$C$108-(G107*($C$109/SQRT($C$105)))</f>
        <v>67.097449866581982</v>
      </c>
      <c r="I107" s="12">
        <f>$C$108+(G107*($C$109/SQRT($C$105)))</f>
        <v>67.502550133418012</v>
      </c>
    </row>
    <row r="108" spans="2:12" x14ac:dyDescent="0.25">
      <c r="B108" s="61" t="s">
        <v>108</v>
      </c>
      <c r="C108" s="12">
        <v>67.3</v>
      </c>
    </row>
    <row r="109" spans="2:12" x14ac:dyDescent="0.25">
      <c r="B109" s="61" t="s">
        <v>109</v>
      </c>
      <c r="C109" s="12">
        <v>0.64</v>
      </c>
    </row>
    <row r="118" spans="2:13" ht="15" customHeight="1" x14ac:dyDescent="0.25">
      <c r="B118" s="61" t="s">
        <v>108</v>
      </c>
      <c r="C118" s="12">
        <v>1.24</v>
      </c>
      <c r="F118" s="61" t="s">
        <v>155</v>
      </c>
      <c r="G118" s="61" t="s">
        <v>162</v>
      </c>
      <c r="H118" s="61" t="s">
        <v>163</v>
      </c>
      <c r="J118" s="168" t="s">
        <v>181</v>
      </c>
      <c r="K118" s="168"/>
      <c r="L118" s="168"/>
      <c r="M118" s="168"/>
    </row>
    <row r="119" spans="2:13" x14ac:dyDescent="0.25">
      <c r="B119" s="61" t="s">
        <v>109</v>
      </c>
      <c r="C119" s="12">
        <v>0.19</v>
      </c>
      <c r="E119" s="62">
        <v>0.99</v>
      </c>
      <c r="F119" s="12">
        <v>2.9470000000000001</v>
      </c>
      <c r="G119" s="12">
        <f>$C$118-(F119*($C$119/SQRT($C$121)))</f>
        <v>1.0954266956638721</v>
      </c>
      <c r="H119" s="12">
        <f>$C$118+(F119*($C$119/SQRT($C$121)))</f>
        <v>1.3845733043361279</v>
      </c>
      <c r="J119" s="168"/>
      <c r="K119" s="168"/>
      <c r="L119" s="168"/>
      <c r="M119" s="168"/>
    </row>
    <row r="120" spans="2:13" x14ac:dyDescent="0.25">
      <c r="J120" s="168"/>
      <c r="K120" s="168"/>
      <c r="L120" s="168"/>
      <c r="M120" s="168"/>
    </row>
    <row r="121" spans="2:13" x14ac:dyDescent="0.25">
      <c r="B121" s="61" t="s">
        <v>160</v>
      </c>
      <c r="C121" s="12">
        <v>15</v>
      </c>
    </row>
    <row r="125" spans="2:13" x14ac:dyDescent="0.25">
      <c r="B125" s="61" t="s">
        <v>175</v>
      </c>
      <c r="C125" s="12">
        <v>89</v>
      </c>
      <c r="F125" s="61" t="s">
        <v>176</v>
      </c>
      <c r="G125" s="61" t="s">
        <v>136</v>
      </c>
      <c r="H125" s="61" t="s">
        <v>162</v>
      </c>
      <c r="I125" s="61" t="s">
        <v>163</v>
      </c>
    </row>
    <row r="126" spans="2:13" x14ac:dyDescent="0.25">
      <c r="B126" s="61" t="s">
        <v>109</v>
      </c>
      <c r="C126" s="12">
        <v>120</v>
      </c>
      <c r="E126" s="62">
        <v>0.9</v>
      </c>
      <c r="F126" s="64">
        <f>(1-E126)/2</f>
        <v>4.9999999999999989E-2</v>
      </c>
      <c r="G126" s="12">
        <v>1.6576500000000001</v>
      </c>
      <c r="H126" s="12">
        <f>$C$125-(G126*($C$126/SQRT($C$128)))</f>
        <v>-58.530850000000015</v>
      </c>
      <c r="I126" s="12">
        <f>$C$118+(G126*($C$119/SQRT($C$121)))</f>
        <v>1.3213206440219825</v>
      </c>
    </row>
    <row r="128" spans="2:13" x14ac:dyDescent="0.25">
      <c r="B128" s="61" t="s">
        <v>160</v>
      </c>
      <c r="C128" s="12">
        <f>(C126/C125)^2</f>
        <v>1.8179522787526827</v>
      </c>
    </row>
  </sheetData>
  <mergeCells count="8">
    <mergeCell ref="B2:I3"/>
    <mergeCell ref="J118:M120"/>
    <mergeCell ref="B107:C107"/>
    <mergeCell ref="B101:C101"/>
    <mergeCell ref="E29:G33"/>
    <mergeCell ref="E14:F18"/>
    <mergeCell ref="K50:L54"/>
    <mergeCell ref="K102:L10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005D8-0D27-43EF-AAD7-C4852A2A0FA1}">
  <dimension ref="B2:I59"/>
  <sheetViews>
    <sheetView topLeftCell="A57" zoomScale="114" workbookViewId="0">
      <selection activeCell="B2" sqref="B2:I3"/>
    </sheetView>
  </sheetViews>
  <sheetFormatPr baseColWidth="10" defaultRowHeight="15" x14ac:dyDescent="0.25"/>
  <sheetData>
    <row r="2" spans="2:9" x14ac:dyDescent="0.25">
      <c r="B2" s="175" t="s">
        <v>394</v>
      </c>
      <c r="C2" s="175"/>
      <c r="D2" s="175"/>
      <c r="E2" s="175"/>
      <c r="F2" s="175"/>
      <c r="G2" s="175"/>
      <c r="H2" s="175"/>
      <c r="I2" s="175"/>
    </row>
    <row r="3" spans="2:9" x14ac:dyDescent="0.25">
      <c r="B3" s="175"/>
      <c r="C3" s="175"/>
      <c r="D3" s="175"/>
      <c r="E3" s="175"/>
      <c r="F3" s="175"/>
      <c r="G3" s="175"/>
      <c r="H3" s="175"/>
      <c r="I3" s="175"/>
    </row>
    <row r="16" spans="2:9" x14ac:dyDescent="0.25">
      <c r="B16" s="144" t="s">
        <v>160</v>
      </c>
      <c r="C16" s="12">
        <v>55</v>
      </c>
      <c r="F16" s="61" t="s">
        <v>155</v>
      </c>
      <c r="G16" s="61" t="s">
        <v>162</v>
      </c>
      <c r="H16" s="61" t="s">
        <v>163</v>
      </c>
    </row>
    <row r="17" spans="2:8" x14ac:dyDescent="0.25">
      <c r="B17" s="61" t="s">
        <v>182</v>
      </c>
      <c r="C17" s="67">
        <v>100</v>
      </c>
      <c r="E17" s="62">
        <v>0.99</v>
      </c>
      <c r="F17" s="12">
        <v>2.9470000000000001</v>
      </c>
      <c r="G17" s="12">
        <f>C18-(C19*SQRT((C18*(1-C18))/C16))</f>
        <v>0.41851920292301237</v>
      </c>
      <c r="H17" s="12">
        <f>C18+(C19*SQRT((C18*(1-C18))/C16))</f>
        <v>0.68148079707698772</v>
      </c>
    </row>
    <row r="18" spans="2:8" x14ac:dyDescent="0.25">
      <c r="B18" s="61" t="s">
        <v>172</v>
      </c>
      <c r="C18" s="12">
        <f>C16/C17</f>
        <v>0.55000000000000004</v>
      </c>
    </row>
    <row r="19" spans="2:8" x14ac:dyDescent="0.25">
      <c r="B19" s="61" t="s">
        <v>136</v>
      </c>
      <c r="C19" s="12">
        <v>1.96</v>
      </c>
    </row>
    <row r="32" spans="2:8" x14ac:dyDescent="0.25">
      <c r="C32" s="61" t="s">
        <v>184</v>
      </c>
      <c r="E32" t="s">
        <v>136</v>
      </c>
      <c r="F32">
        <f>(C37-C33)/(C39/SQRT(C36))</f>
        <v>2.1428571428571286</v>
      </c>
    </row>
    <row r="33" spans="2:9" x14ac:dyDescent="0.25">
      <c r="B33" s="61" t="s">
        <v>183</v>
      </c>
      <c r="C33" s="12">
        <v>1</v>
      </c>
    </row>
    <row r="34" spans="2:9" x14ac:dyDescent="0.25">
      <c r="B34" s="61" t="s">
        <v>185</v>
      </c>
      <c r="C34" s="12" t="s">
        <v>186</v>
      </c>
      <c r="E34" s="168" t="s">
        <v>188</v>
      </c>
      <c r="F34" s="168"/>
      <c r="G34" s="168"/>
      <c r="H34" s="168"/>
      <c r="I34" s="168"/>
    </row>
    <row r="35" spans="2:9" x14ac:dyDescent="0.25">
      <c r="E35" s="168"/>
      <c r="F35" s="168"/>
      <c r="G35" s="168"/>
      <c r="H35" s="168"/>
      <c r="I35" s="168"/>
    </row>
    <row r="36" spans="2:9" x14ac:dyDescent="0.25">
      <c r="B36" s="61" t="s">
        <v>160</v>
      </c>
      <c r="C36" s="12">
        <v>100</v>
      </c>
      <c r="E36" s="168"/>
      <c r="F36" s="168"/>
      <c r="G36" s="168"/>
      <c r="H36" s="168"/>
      <c r="I36" s="168"/>
    </row>
    <row r="37" spans="2:9" x14ac:dyDescent="0.25">
      <c r="B37" s="61" t="s">
        <v>108</v>
      </c>
      <c r="C37" s="12">
        <v>1.0149999999999999</v>
      </c>
      <c r="E37" s="168"/>
      <c r="F37" s="168"/>
      <c r="G37" s="168"/>
      <c r="H37" s="168"/>
      <c r="I37" s="168"/>
    </row>
    <row r="38" spans="2:9" x14ac:dyDescent="0.25">
      <c r="B38" s="61" t="s">
        <v>136</v>
      </c>
      <c r="C38" s="12">
        <v>2.58</v>
      </c>
    </row>
    <row r="39" spans="2:9" x14ac:dyDescent="0.25">
      <c r="B39" s="61" t="s">
        <v>109</v>
      </c>
      <c r="C39" s="12">
        <v>7.0000000000000007E-2</v>
      </c>
    </row>
    <row r="41" spans="2:9" x14ac:dyDescent="0.25">
      <c r="B41" s="61" t="s">
        <v>187</v>
      </c>
      <c r="C41" s="12">
        <v>0.01</v>
      </c>
    </row>
    <row r="51" spans="2:9" x14ac:dyDescent="0.25">
      <c r="B51" s="61" t="s">
        <v>160</v>
      </c>
      <c r="C51" s="12">
        <v>15</v>
      </c>
      <c r="E51" s="61" t="s">
        <v>155</v>
      </c>
      <c r="G51" s="168" t="s">
        <v>192</v>
      </c>
      <c r="H51" s="168"/>
      <c r="I51" s="168"/>
    </row>
    <row r="52" spans="2:9" x14ac:dyDescent="0.25">
      <c r="B52" s="61" t="s">
        <v>108</v>
      </c>
      <c r="C52" s="12">
        <v>1.4</v>
      </c>
      <c r="E52" s="68">
        <f>(C52-C59)/(C53/SQRT(C51))</f>
        <v>-1.8442777839082956</v>
      </c>
      <c r="G52" s="168"/>
      <c r="H52" s="168"/>
      <c r="I52" s="168"/>
    </row>
    <row r="53" spans="2:9" x14ac:dyDescent="0.25">
      <c r="B53" s="61" t="s">
        <v>109</v>
      </c>
      <c r="C53" s="12">
        <v>0.21</v>
      </c>
      <c r="G53" s="168"/>
      <c r="H53" s="168"/>
      <c r="I53" s="168"/>
    </row>
    <row r="54" spans="2:9" x14ac:dyDescent="0.25">
      <c r="G54" s="168"/>
      <c r="H54" s="168"/>
      <c r="I54" s="168"/>
    </row>
    <row r="55" spans="2:9" x14ac:dyDescent="0.25">
      <c r="B55" s="61" t="s">
        <v>187</v>
      </c>
      <c r="C55" s="12">
        <v>0.01</v>
      </c>
    </row>
    <row r="56" spans="2:9" x14ac:dyDescent="0.25">
      <c r="B56" s="61" t="s">
        <v>155</v>
      </c>
      <c r="C56" s="12">
        <v>-2.6240000000000001</v>
      </c>
    </row>
    <row r="57" spans="2:9" ht="17.25" x14ac:dyDescent="0.3">
      <c r="B57" s="61" t="s">
        <v>185</v>
      </c>
      <c r="C57" s="12" t="s">
        <v>190</v>
      </c>
      <c r="E57" t="s">
        <v>193</v>
      </c>
    </row>
    <row r="58" spans="2:9" x14ac:dyDescent="0.25">
      <c r="B58" s="61" t="s">
        <v>189</v>
      </c>
      <c r="C58" s="12" t="s">
        <v>191</v>
      </c>
      <c r="E58" t="s">
        <v>194</v>
      </c>
    </row>
    <row r="59" spans="2:9" x14ac:dyDescent="0.25">
      <c r="B59" s="61" t="s">
        <v>184</v>
      </c>
      <c r="C59" s="12">
        <v>1.5</v>
      </c>
    </row>
  </sheetData>
  <mergeCells count="3">
    <mergeCell ref="E34:I37"/>
    <mergeCell ref="G51:I54"/>
    <mergeCell ref="B2:I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5EC7F-A11A-479D-B259-17054FF11D17}">
  <dimension ref="A2:J43"/>
  <sheetViews>
    <sheetView zoomScale="97" workbookViewId="0">
      <selection activeCell="B2" sqref="B2:J3"/>
    </sheetView>
  </sheetViews>
  <sheetFormatPr baseColWidth="10" defaultRowHeight="15" x14ac:dyDescent="0.25"/>
  <sheetData>
    <row r="2" spans="2:10" x14ac:dyDescent="0.25">
      <c r="B2" s="179" t="s">
        <v>395</v>
      </c>
      <c r="C2" s="179"/>
      <c r="D2" s="179"/>
      <c r="E2" s="179"/>
      <c r="F2" s="179"/>
      <c r="G2" s="179"/>
      <c r="H2" s="179"/>
      <c r="I2" s="179"/>
      <c r="J2" s="179"/>
    </row>
    <row r="3" spans="2:10" x14ac:dyDescent="0.25">
      <c r="B3" s="179"/>
      <c r="C3" s="179"/>
      <c r="D3" s="179"/>
      <c r="E3" s="179"/>
      <c r="F3" s="179"/>
      <c r="G3" s="179"/>
      <c r="H3" s="179"/>
      <c r="I3" s="179"/>
      <c r="J3" s="179"/>
    </row>
    <row r="13" spans="2:10" x14ac:dyDescent="0.25">
      <c r="C13" s="69" t="s">
        <v>184</v>
      </c>
      <c r="E13" s="69" t="s">
        <v>136</v>
      </c>
      <c r="F13" s="12">
        <f>(C14-C18)/(C20/SQRT(C17))</f>
        <v>3.5355339059327378</v>
      </c>
    </row>
    <row r="14" spans="2:10" x14ac:dyDescent="0.25">
      <c r="B14" s="69" t="s">
        <v>195</v>
      </c>
      <c r="C14" s="70">
        <v>1850</v>
      </c>
    </row>
    <row r="15" spans="2:10" ht="15" customHeight="1" x14ac:dyDescent="0.25">
      <c r="B15" s="69" t="s">
        <v>198</v>
      </c>
      <c r="C15" s="12">
        <v>1850</v>
      </c>
      <c r="E15" s="168" t="s">
        <v>199</v>
      </c>
      <c r="F15" s="168"/>
      <c r="G15" s="65"/>
      <c r="H15" s="65"/>
      <c r="I15" s="65"/>
    </row>
    <row r="16" spans="2:10" x14ac:dyDescent="0.25">
      <c r="E16" s="168"/>
      <c r="F16" s="168"/>
      <c r="G16" s="65"/>
      <c r="H16" s="65"/>
      <c r="I16" s="65"/>
    </row>
    <row r="17" spans="1:9" x14ac:dyDescent="0.25">
      <c r="B17" s="69" t="s">
        <v>160</v>
      </c>
      <c r="C17" s="12">
        <v>50</v>
      </c>
      <c r="E17" s="168"/>
      <c r="F17" s="168"/>
      <c r="G17" s="65"/>
      <c r="H17" s="65"/>
      <c r="I17" s="65"/>
    </row>
    <row r="18" spans="1:9" x14ac:dyDescent="0.25">
      <c r="B18" s="69" t="s">
        <v>108</v>
      </c>
      <c r="C18" s="12">
        <v>1800</v>
      </c>
      <c r="E18" s="168"/>
      <c r="F18" s="168"/>
      <c r="G18" s="65"/>
      <c r="H18" s="65"/>
      <c r="I18" s="65"/>
    </row>
    <row r="19" spans="1:9" x14ac:dyDescent="0.25">
      <c r="B19" s="69" t="s">
        <v>136</v>
      </c>
      <c r="C19" s="12">
        <v>2.40327</v>
      </c>
      <c r="E19" s="168"/>
      <c r="F19" s="168"/>
    </row>
    <row r="20" spans="1:9" x14ac:dyDescent="0.25">
      <c r="B20" s="69" t="s">
        <v>109</v>
      </c>
      <c r="C20" s="12">
        <v>100</v>
      </c>
      <c r="E20" s="168"/>
      <c r="F20" s="168"/>
    </row>
    <row r="21" spans="1:9" x14ac:dyDescent="0.25">
      <c r="E21" s="168"/>
      <c r="F21" s="168"/>
    </row>
    <row r="22" spans="1:9" x14ac:dyDescent="0.25">
      <c r="B22" s="69" t="s">
        <v>187</v>
      </c>
      <c r="C22" s="12">
        <v>0.01</v>
      </c>
      <c r="E22" s="168"/>
      <c r="F22" s="168"/>
    </row>
    <row r="30" spans="1:9" x14ac:dyDescent="0.25">
      <c r="A30" s="19"/>
    </row>
    <row r="33" spans="2:9" x14ac:dyDescent="0.25">
      <c r="C33" s="69" t="s">
        <v>184</v>
      </c>
      <c r="E33" s="69" t="s">
        <v>136</v>
      </c>
      <c r="F33" s="12">
        <f>(C38-C34)/(C40/SQRT(C37))</f>
        <v>2.5396612106278145</v>
      </c>
    </row>
    <row r="34" spans="2:9" x14ac:dyDescent="0.25">
      <c r="B34" s="69" t="s">
        <v>195</v>
      </c>
      <c r="C34" s="70">
        <v>23.5</v>
      </c>
    </row>
    <row r="35" spans="2:9" ht="15" customHeight="1" x14ac:dyDescent="0.25">
      <c r="B35" s="69" t="s">
        <v>196</v>
      </c>
      <c r="C35" s="70">
        <v>23.5</v>
      </c>
      <c r="E35" s="168" t="s">
        <v>197</v>
      </c>
      <c r="F35" s="168"/>
      <c r="G35" s="65"/>
      <c r="H35" s="65"/>
      <c r="I35" s="65"/>
    </row>
    <row r="36" spans="2:9" x14ac:dyDescent="0.25">
      <c r="E36" s="168"/>
      <c r="F36" s="168"/>
      <c r="G36" s="65"/>
      <c r="H36" s="65"/>
      <c r="I36" s="65"/>
    </row>
    <row r="37" spans="2:9" x14ac:dyDescent="0.25">
      <c r="B37" s="69" t="s">
        <v>160</v>
      </c>
      <c r="C37" s="12">
        <v>60</v>
      </c>
      <c r="E37" s="168"/>
      <c r="F37" s="168"/>
      <c r="G37" s="65"/>
      <c r="H37" s="65"/>
      <c r="I37" s="65"/>
    </row>
    <row r="38" spans="2:9" x14ac:dyDescent="0.25">
      <c r="B38" s="69" t="s">
        <v>108</v>
      </c>
      <c r="C38" s="12">
        <v>25.5</v>
      </c>
      <c r="E38" s="168"/>
      <c r="F38" s="168"/>
      <c r="G38" s="65"/>
      <c r="H38" s="65"/>
      <c r="I38" s="65"/>
    </row>
    <row r="39" spans="2:9" x14ac:dyDescent="0.25">
      <c r="B39" s="69" t="s">
        <v>136</v>
      </c>
      <c r="C39" s="12">
        <v>1.67065</v>
      </c>
      <c r="E39" s="168"/>
      <c r="F39" s="168"/>
    </row>
    <row r="40" spans="2:9" x14ac:dyDescent="0.25">
      <c r="B40" s="69" t="s">
        <v>109</v>
      </c>
      <c r="C40" s="12">
        <v>6.1</v>
      </c>
      <c r="E40" s="168"/>
      <c r="F40" s="168"/>
    </row>
    <row r="41" spans="2:9" x14ac:dyDescent="0.25">
      <c r="E41" s="168"/>
      <c r="F41" s="168"/>
    </row>
    <row r="42" spans="2:9" x14ac:dyDescent="0.25">
      <c r="B42" s="69" t="s">
        <v>187</v>
      </c>
      <c r="C42" s="57">
        <v>0.95</v>
      </c>
      <c r="E42" s="168"/>
      <c r="F42" s="168"/>
    </row>
    <row r="43" spans="2:9" x14ac:dyDescent="0.25">
      <c r="E43" s="168"/>
      <c r="F43" s="168"/>
    </row>
  </sheetData>
  <mergeCells count="3">
    <mergeCell ref="E15:F22"/>
    <mergeCell ref="E35:F43"/>
    <mergeCell ref="B2:J3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5633A-46E2-4AB3-A987-0F104BEE1A0E}">
  <dimension ref="A2:T149"/>
  <sheetViews>
    <sheetView topLeftCell="A34" zoomScale="116" zoomScaleNormal="100" workbookViewId="0">
      <selection activeCell="B2" sqref="B2:F2"/>
    </sheetView>
  </sheetViews>
  <sheetFormatPr baseColWidth="10" defaultRowHeight="15" x14ac:dyDescent="0.25"/>
  <cols>
    <col min="2" max="2" width="32.85546875" bestFit="1" customWidth="1"/>
    <col min="3" max="3" width="11.5703125" bestFit="1" customWidth="1"/>
    <col min="5" max="5" width="11.5703125" bestFit="1" customWidth="1"/>
    <col min="12" max="12" width="18" customWidth="1"/>
    <col min="13" max="15" width="11.5703125" bestFit="1" customWidth="1"/>
    <col min="16" max="17" width="15.7109375" bestFit="1" customWidth="1"/>
    <col min="18" max="20" width="11.5703125" bestFit="1" customWidth="1"/>
  </cols>
  <sheetData>
    <row r="2" spans="2:6" ht="33.75" x14ac:dyDescent="0.5">
      <c r="B2" s="180" t="s">
        <v>200</v>
      </c>
      <c r="C2" s="180"/>
      <c r="D2" s="180"/>
      <c r="E2" s="180"/>
      <c r="F2" s="180"/>
    </row>
    <row r="8" spans="2:6" x14ac:dyDescent="0.25">
      <c r="B8" s="143" t="s">
        <v>201</v>
      </c>
      <c r="C8" s="71" t="s">
        <v>202</v>
      </c>
    </row>
    <row r="9" spans="2:6" x14ac:dyDescent="0.25">
      <c r="B9" s="12">
        <v>1</v>
      </c>
      <c r="C9" s="12">
        <v>1</v>
      </c>
    </row>
    <row r="10" spans="2:6" x14ac:dyDescent="0.25">
      <c r="B10" s="12">
        <v>3</v>
      </c>
      <c r="C10" s="12">
        <v>2</v>
      </c>
    </row>
    <row r="11" spans="2:6" x14ac:dyDescent="0.25">
      <c r="B11" s="12">
        <v>4</v>
      </c>
      <c r="C11" s="12">
        <v>4</v>
      </c>
    </row>
    <row r="12" spans="2:6" x14ac:dyDescent="0.25">
      <c r="B12" s="12">
        <v>6</v>
      </c>
      <c r="C12" s="12">
        <v>4</v>
      </c>
    </row>
    <row r="13" spans="2:6" x14ac:dyDescent="0.25">
      <c r="B13" s="12">
        <v>8</v>
      </c>
      <c r="C13" s="12">
        <v>5</v>
      </c>
    </row>
    <row r="14" spans="2:6" x14ac:dyDescent="0.25">
      <c r="B14" s="12">
        <v>9</v>
      </c>
      <c r="C14" s="12">
        <v>7</v>
      </c>
    </row>
    <row r="15" spans="2:6" x14ac:dyDescent="0.25">
      <c r="B15" s="12">
        <v>11</v>
      </c>
      <c r="C15" s="12">
        <v>8</v>
      </c>
    </row>
    <row r="16" spans="2:6" x14ac:dyDescent="0.25">
      <c r="B16" s="12">
        <v>14</v>
      </c>
      <c r="C16" s="12">
        <v>9</v>
      </c>
    </row>
    <row r="18" spans="1:13" x14ac:dyDescent="0.25">
      <c r="B18" t="s">
        <v>203</v>
      </c>
    </row>
    <row r="19" spans="1:13" x14ac:dyDescent="0.25">
      <c r="A19" t="s">
        <v>204</v>
      </c>
      <c r="B19">
        <f>LINEST(C9:C16,B9:B16,TRUE,TRUE)</f>
        <v>0.63636363636363635</v>
      </c>
    </row>
    <row r="30" spans="1:13" x14ac:dyDescent="0.25">
      <c r="B30" s="6" t="s">
        <v>205</v>
      </c>
      <c r="C30" s="6" t="s">
        <v>206</v>
      </c>
      <c r="L30" t="s">
        <v>207</v>
      </c>
    </row>
    <row r="31" spans="1:13" ht="15.75" thickBot="1" x14ac:dyDescent="0.3">
      <c r="B31" s="12">
        <v>11</v>
      </c>
      <c r="C31" s="12">
        <v>2.84</v>
      </c>
    </row>
    <row r="32" spans="1:13" x14ac:dyDescent="0.25">
      <c r="B32" s="12">
        <v>5</v>
      </c>
      <c r="C32" s="12">
        <v>3.2</v>
      </c>
      <c r="L32" s="24" t="s">
        <v>208</v>
      </c>
      <c r="M32" s="24"/>
    </row>
    <row r="33" spans="2:20" x14ac:dyDescent="0.25">
      <c r="B33" s="12">
        <v>22</v>
      </c>
      <c r="C33" s="12">
        <v>2.1800000000000002</v>
      </c>
      <c r="L33" s="22" t="s">
        <v>209</v>
      </c>
      <c r="M33" s="22">
        <v>0.9762010918462225</v>
      </c>
    </row>
    <row r="34" spans="2:20" x14ac:dyDescent="0.25">
      <c r="B34" s="12">
        <v>23</v>
      </c>
      <c r="C34" s="12">
        <v>2.12</v>
      </c>
      <c r="L34" s="73" t="s">
        <v>210</v>
      </c>
      <c r="M34" s="73">
        <v>0.95296857172175697</v>
      </c>
    </row>
    <row r="35" spans="2:20" x14ac:dyDescent="0.25">
      <c r="B35" s="12">
        <v>20</v>
      </c>
      <c r="C35" s="12">
        <v>2.5499999999999998</v>
      </c>
      <c r="L35" s="22" t="s">
        <v>211</v>
      </c>
      <c r="M35" s="22">
        <v>0.95128887785467686</v>
      </c>
    </row>
    <row r="36" spans="2:20" x14ac:dyDescent="0.25">
      <c r="B36" s="12">
        <v>20</v>
      </c>
      <c r="C36" s="12">
        <v>2.2400000000000002</v>
      </c>
      <c r="L36" s="22" t="s">
        <v>36</v>
      </c>
      <c r="M36" s="22">
        <v>1.4555788725243575</v>
      </c>
    </row>
    <row r="37" spans="2:20" ht="15.75" thickBot="1" x14ac:dyDescent="0.3">
      <c r="B37" s="12">
        <v>10</v>
      </c>
      <c r="C37" s="12">
        <v>2.9</v>
      </c>
      <c r="L37" s="23" t="s">
        <v>212</v>
      </c>
      <c r="M37" s="23">
        <v>30</v>
      </c>
    </row>
    <row r="38" spans="2:20" x14ac:dyDescent="0.25">
      <c r="B38" s="12">
        <v>19</v>
      </c>
      <c r="C38" s="12">
        <v>2.36</v>
      </c>
    </row>
    <row r="39" spans="2:20" ht="15.75" thickBot="1" x14ac:dyDescent="0.3">
      <c r="B39" s="12">
        <v>15</v>
      </c>
      <c r="C39" s="12">
        <v>2.6</v>
      </c>
      <c r="L39" t="s">
        <v>213</v>
      </c>
    </row>
    <row r="40" spans="2:20" x14ac:dyDescent="0.25">
      <c r="B40" s="12">
        <v>18</v>
      </c>
      <c r="C40" s="12">
        <v>2.42</v>
      </c>
      <c r="L40" s="72"/>
      <c r="M40" s="72" t="s">
        <v>217</v>
      </c>
      <c r="N40" s="72" t="s">
        <v>218</v>
      </c>
      <c r="O40" s="72" t="s">
        <v>219</v>
      </c>
      <c r="P40" s="72" t="s">
        <v>220</v>
      </c>
      <c r="Q40" s="72" t="s">
        <v>221</v>
      </c>
    </row>
    <row r="41" spans="2:20" x14ac:dyDescent="0.25">
      <c r="B41" s="12">
        <v>9</v>
      </c>
      <c r="C41" s="12">
        <v>2.85</v>
      </c>
      <c r="L41" s="22" t="s">
        <v>214</v>
      </c>
      <c r="M41" s="22">
        <v>1</v>
      </c>
      <c r="N41" s="22">
        <v>1202.0427907507665</v>
      </c>
      <c r="O41" s="22">
        <v>1202.0427907507665</v>
      </c>
      <c r="P41" s="22">
        <v>567.34658046846778</v>
      </c>
      <c r="Q41" s="22">
        <v>3.9597480002258223E-20</v>
      </c>
    </row>
    <row r="42" spans="2:20" x14ac:dyDescent="0.25">
      <c r="B42" s="12">
        <v>5</v>
      </c>
      <c r="C42" s="12">
        <v>3.35</v>
      </c>
      <c r="L42" s="22" t="s">
        <v>215</v>
      </c>
      <c r="M42" s="22">
        <v>28</v>
      </c>
      <c r="N42" s="22">
        <v>59.323875915899833</v>
      </c>
      <c r="O42" s="22">
        <v>2.1187098541392797</v>
      </c>
      <c r="P42" s="22"/>
      <c r="Q42" s="22"/>
    </row>
    <row r="43" spans="2:20" ht="15.75" thickBot="1" x14ac:dyDescent="0.3">
      <c r="B43" s="12">
        <v>14</v>
      </c>
      <c r="C43" s="12">
        <v>2.6</v>
      </c>
      <c r="L43" s="23" t="s">
        <v>49</v>
      </c>
      <c r="M43" s="23">
        <v>29</v>
      </c>
      <c r="N43" s="23">
        <v>1261.3666666666663</v>
      </c>
      <c r="O43" s="23"/>
      <c r="P43" s="23"/>
      <c r="Q43" s="23"/>
    </row>
    <row r="44" spans="2:20" ht="15.75" thickBot="1" x14ac:dyDescent="0.3">
      <c r="B44" s="12">
        <v>18</v>
      </c>
      <c r="C44" s="12">
        <v>2.35</v>
      </c>
    </row>
    <row r="45" spans="2:20" x14ac:dyDescent="0.25">
      <c r="B45" s="12">
        <v>6</v>
      </c>
      <c r="C45" s="12">
        <v>3.14</v>
      </c>
      <c r="E45" t="s">
        <v>203</v>
      </c>
      <c r="L45" s="72"/>
      <c r="M45" s="74" t="s">
        <v>222</v>
      </c>
      <c r="N45" s="72" t="s">
        <v>36</v>
      </c>
      <c r="O45" s="72" t="s">
        <v>223</v>
      </c>
      <c r="P45" s="72" t="s">
        <v>224</v>
      </c>
      <c r="Q45" s="72" t="s">
        <v>225</v>
      </c>
      <c r="R45" s="72" t="s">
        <v>226</v>
      </c>
      <c r="S45" s="72" t="s">
        <v>227</v>
      </c>
      <c r="T45" s="72" t="s">
        <v>228</v>
      </c>
    </row>
    <row r="46" spans="2:20" x14ac:dyDescent="0.25">
      <c r="B46" s="12">
        <v>9</v>
      </c>
      <c r="C46" s="12">
        <v>3.05</v>
      </c>
      <c r="E46" t="e">
        <f>LINEST(C30:C60,B30:B60,TRUE,TRUE)</f>
        <v>#VALUE!</v>
      </c>
      <c r="L46" s="22" t="s">
        <v>216</v>
      </c>
      <c r="M46" s="73">
        <v>56.711398873717528</v>
      </c>
      <c r="N46" s="22">
        <v>1.7809146029487062</v>
      </c>
      <c r="O46" s="22">
        <v>31.843974315118199</v>
      </c>
      <c r="P46" s="22">
        <v>1.5482410440821999E-23</v>
      </c>
      <c r="Q46" s="22">
        <v>53.063360682109959</v>
      </c>
      <c r="R46" s="22">
        <v>60.359437065325096</v>
      </c>
      <c r="S46" s="22">
        <v>53.063360682109959</v>
      </c>
      <c r="T46" s="22">
        <v>60.359437065325096</v>
      </c>
    </row>
    <row r="47" spans="2:20" ht="15.75" thickBot="1" x14ac:dyDescent="0.3">
      <c r="B47" s="12">
        <v>24</v>
      </c>
      <c r="C47" s="12">
        <v>2.06</v>
      </c>
      <c r="L47" s="23" t="s">
        <v>206</v>
      </c>
      <c r="M47" s="75">
        <v>-16.056424221150003</v>
      </c>
      <c r="N47" s="23">
        <v>0.67410044396587399</v>
      </c>
      <c r="O47" s="23">
        <v>-23.819038193606133</v>
      </c>
      <c r="P47" s="23">
        <v>3.95974800022585E-20</v>
      </c>
      <c r="Q47" s="23">
        <v>-17.437256384857044</v>
      </c>
      <c r="R47" s="23">
        <v>-14.675592057442962</v>
      </c>
      <c r="S47" s="23">
        <v>-17.437256384857044</v>
      </c>
      <c r="T47" s="23">
        <v>-14.675592057442962</v>
      </c>
    </row>
    <row r="48" spans="2:20" x14ac:dyDescent="0.25">
      <c r="B48" s="12">
        <v>25</v>
      </c>
      <c r="C48" s="12">
        <v>2</v>
      </c>
    </row>
    <row r="49" spans="2:10" x14ac:dyDescent="0.25">
      <c r="B49" s="12">
        <v>12</v>
      </c>
      <c r="C49" s="12">
        <v>2.78</v>
      </c>
    </row>
    <row r="50" spans="2:10" x14ac:dyDescent="0.25">
      <c r="B50" s="12">
        <v>6</v>
      </c>
      <c r="C50" s="12">
        <v>2.9</v>
      </c>
    </row>
    <row r="51" spans="2:10" x14ac:dyDescent="0.25">
      <c r="B51" s="12">
        <v>25</v>
      </c>
      <c r="C51" s="12">
        <v>1.85</v>
      </c>
    </row>
    <row r="52" spans="2:10" x14ac:dyDescent="0.25">
      <c r="B52" s="12">
        <v>6</v>
      </c>
      <c r="C52" s="12">
        <v>3.14</v>
      </c>
    </row>
    <row r="53" spans="2:10" x14ac:dyDescent="0.25">
      <c r="B53" s="12">
        <v>9</v>
      </c>
      <c r="C53" s="12">
        <v>2.96</v>
      </c>
    </row>
    <row r="54" spans="2:10" x14ac:dyDescent="0.25">
      <c r="B54" s="12">
        <v>20</v>
      </c>
      <c r="C54" s="12">
        <v>2.2999999999999998</v>
      </c>
    </row>
    <row r="55" spans="2:10" x14ac:dyDescent="0.25">
      <c r="B55" s="12">
        <v>14</v>
      </c>
      <c r="C55" s="12">
        <v>2.66</v>
      </c>
    </row>
    <row r="56" spans="2:10" x14ac:dyDescent="0.25">
      <c r="B56" s="12">
        <v>19</v>
      </c>
      <c r="C56" s="12">
        <v>2.36</v>
      </c>
    </row>
    <row r="57" spans="2:10" x14ac:dyDescent="0.25">
      <c r="B57" s="12">
        <v>21</v>
      </c>
      <c r="C57" s="12">
        <v>2.2400000000000002</v>
      </c>
    </row>
    <row r="58" spans="2:10" x14ac:dyDescent="0.25">
      <c r="B58" s="12">
        <v>7</v>
      </c>
      <c r="C58" s="12">
        <v>3.08</v>
      </c>
    </row>
    <row r="59" spans="2:10" x14ac:dyDescent="0.25">
      <c r="B59" s="12">
        <v>11</v>
      </c>
      <c r="C59" s="12">
        <v>2.84</v>
      </c>
    </row>
    <row r="60" spans="2:10" x14ac:dyDescent="0.25">
      <c r="B60" s="12">
        <v>20</v>
      </c>
      <c r="C60" s="12">
        <v>2.4500000000000002</v>
      </c>
    </row>
    <row r="63" spans="2:10" ht="15.75" thickBot="1" x14ac:dyDescent="0.3"/>
    <row r="64" spans="2:10" x14ac:dyDescent="0.25">
      <c r="C64" s="76" t="s">
        <v>229</v>
      </c>
      <c r="D64" s="77" t="s">
        <v>230</v>
      </c>
      <c r="E64" s="77" t="s">
        <v>231</v>
      </c>
      <c r="F64" s="84" t="s">
        <v>232</v>
      </c>
      <c r="G64" s="90" t="s">
        <v>238</v>
      </c>
      <c r="H64" s="77" t="s">
        <v>239</v>
      </c>
      <c r="I64" s="77" t="s">
        <v>240</v>
      </c>
      <c r="J64" s="78" t="s">
        <v>234</v>
      </c>
    </row>
    <row r="65" spans="2:10" x14ac:dyDescent="0.25">
      <c r="C65" s="79">
        <v>5</v>
      </c>
      <c r="D65" s="12">
        <v>2.4</v>
      </c>
      <c r="E65" s="12">
        <f t="shared" ref="E65:E70" si="0">C65*D65</f>
        <v>12</v>
      </c>
      <c r="F65" s="85">
        <f t="shared" ref="F65:F70" si="1">C65^2</f>
        <v>25</v>
      </c>
      <c r="G65" s="79">
        <f t="shared" ref="G65:G70" si="2">$D$74+($D$77*C65)</f>
        <v>2.1882812500000011</v>
      </c>
      <c r="H65" s="12">
        <f t="shared" ref="H65:H70" si="3">(D65-G65)^2</f>
        <v>4.4824829101562012E-2</v>
      </c>
      <c r="I65" s="12">
        <f t="shared" ref="I65:I70" si="4">(G65-AVERAGE($D$65:$D$70))^2</f>
        <v>62.595293579101543</v>
      </c>
      <c r="J65" s="80">
        <f t="shared" ref="J65:J70" si="5">(D65-AVERAGE($D$65:$D$70))^2</f>
        <v>59.289999999999992</v>
      </c>
    </row>
    <row r="66" spans="2:10" x14ac:dyDescent="0.25">
      <c r="C66" s="79">
        <v>9</v>
      </c>
      <c r="D66" s="12">
        <v>5.7</v>
      </c>
      <c r="E66" s="12">
        <f t="shared" si="0"/>
        <v>51.300000000000004</v>
      </c>
      <c r="F66" s="85">
        <f t="shared" si="1"/>
        <v>81</v>
      </c>
      <c r="G66" s="79">
        <f t="shared" si="2"/>
        <v>7.185156250000011</v>
      </c>
      <c r="H66" s="12">
        <f t="shared" si="3"/>
        <v>2.2056890869140946</v>
      </c>
      <c r="I66" s="12">
        <f t="shared" si="4"/>
        <v>8.4963140869139959</v>
      </c>
      <c r="J66" s="80">
        <f t="shared" si="5"/>
        <v>19.359999999999996</v>
      </c>
    </row>
    <row r="67" spans="2:10" x14ac:dyDescent="0.25">
      <c r="C67" s="79">
        <v>12</v>
      </c>
      <c r="D67" s="12">
        <v>9.8000000000000007</v>
      </c>
      <c r="E67" s="12">
        <f t="shared" si="0"/>
        <v>117.60000000000001</v>
      </c>
      <c r="F67" s="85">
        <f t="shared" si="1"/>
        <v>144</v>
      </c>
      <c r="G67" s="79">
        <f t="shared" si="2"/>
        <v>10.932812500000018</v>
      </c>
      <c r="H67" s="12">
        <f t="shared" si="3"/>
        <v>1.2832641601562902</v>
      </c>
      <c r="I67" s="12">
        <f t="shared" si="4"/>
        <v>0.69357666015628139</v>
      </c>
      <c r="J67" s="80">
        <f t="shared" si="5"/>
        <v>8.9999999999999358E-2</v>
      </c>
    </row>
    <row r="68" spans="2:10" x14ac:dyDescent="0.25">
      <c r="C68" s="79">
        <v>11</v>
      </c>
      <c r="D68" s="12">
        <v>10.4</v>
      </c>
      <c r="E68" s="12">
        <f t="shared" si="0"/>
        <v>114.4</v>
      </c>
      <c r="F68" s="85">
        <f t="shared" si="1"/>
        <v>121</v>
      </c>
      <c r="G68" s="79">
        <f t="shared" si="2"/>
        <v>9.683593750000016</v>
      </c>
      <c r="H68" s="12">
        <f t="shared" si="3"/>
        <v>0.51323791503904015</v>
      </c>
      <c r="I68" s="12">
        <f t="shared" si="4"/>
        <v>0.17339416503904889</v>
      </c>
      <c r="J68" s="80">
        <f t="shared" si="5"/>
        <v>9.0000000000000427E-2</v>
      </c>
    </row>
    <row r="69" spans="2:10" x14ac:dyDescent="0.25">
      <c r="C69" s="79">
        <v>17</v>
      </c>
      <c r="D69" s="12">
        <v>15.3</v>
      </c>
      <c r="E69" s="12">
        <f t="shared" si="0"/>
        <v>260.10000000000002</v>
      </c>
      <c r="F69" s="85">
        <f t="shared" si="1"/>
        <v>289</v>
      </c>
      <c r="G69" s="79">
        <f t="shared" si="2"/>
        <v>17.178906250000033</v>
      </c>
      <c r="H69" s="12">
        <f t="shared" si="3"/>
        <v>3.5302886962891828</v>
      </c>
      <c r="I69" s="12">
        <f t="shared" si="4"/>
        <v>50.110913696289529</v>
      </c>
      <c r="J69" s="80">
        <f t="shared" si="5"/>
        <v>27.04000000000001</v>
      </c>
    </row>
    <row r="70" spans="2:10" x14ac:dyDescent="0.25">
      <c r="C70" s="79">
        <v>14</v>
      </c>
      <c r="D70" s="12">
        <v>17</v>
      </c>
      <c r="E70" s="12">
        <f t="shared" si="0"/>
        <v>238</v>
      </c>
      <c r="F70" s="85">
        <f t="shared" si="1"/>
        <v>196</v>
      </c>
      <c r="G70" s="79">
        <f t="shared" si="2"/>
        <v>13.431250000000023</v>
      </c>
      <c r="H70" s="12">
        <f t="shared" si="3"/>
        <v>12.735976562499832</v>
      </c>
      <c r="I70" s="12">
        <f t="shared" si="4"/>
        <v>11.097226562500159</v>
      </c>
      <c r="J70" s="80">
        <f t="shared" si="5"/>
        <v>47.610000000000007</v>
      </c>
    </row>
    <row r="71" spans="2:10" ht="15.75" thickBot="1" x14ac:dyDescent="0.3">
      <c r="C71" s="81">
        <f t="shared" ref="C71:J71" si="6">SUM(C65:C70)</f>
        <v>68</v>
      </c>
      <c r="D71" s="82">
        <f t="shared" si="6"/>
        <v>60.599999999999994</v>
      </c>
      <c r="E71" s="82">
        <f t="shared" si="6"/>
        <v>793.40000000000009</v>
      </c>
      <c r="F71" s="86">
        <f t="shared" si="6"/>
        <v>856</v>
      </c>
      <c r="G71" s="81">
        <f t="shared" si="6"/>
        <v>60.600000000000108</v>
      </c>
      <c r="H71" s="82">
        <f t="shared" si="6"/>
        <v>20.313281250000003</v>
      </c>
      <c r="I71" s="82">
        <f t="shared" si="6"/>
        <v>133.16671875000054</v>
      </c>
      <c r="J71" s="83">
        <f t="shared" si="6"/>
        <v>153.48000000000002</v>
      </c>
    </row>
    <row r="72" spans="2:10" x14ac:dyDescent="0.25">
      <c r="H72" t="s">
        <v>235</v>
      </c>
      <c r="I72" t="s">
        <v>236</v>
      </c>
      <c r="J72" t="s">
        <v>237</v>
      </c>
    </row>
    <row r="74" spans="2:10" x14ac:dyDescent="0.25">
      <c r="C74" t="s">
        <v>233</v>
      </c>
      <c r="D74">
        <f>((D71*F71)-(C71*E71))/((C80*F71)-(C71^2))</f>
        <v>-4.0578125000000114</v>
      </c>
    </row>
    <row r="77" spans="2:10" x14ac:dyDescent="0.25">
      <c r="C77" t="s">
        <v>233</v>
      </c>
      <c r="D77">
        <f>((C80*E71)-(C71*D71))/(C80*F71-(C71^2))</f>
        <v>1.2492187500000025</v>
      </c>
    </row>
    <row r="80" spans="2:10" x14ac:dyDescent="0.25">
      <c r="B80" s="6" t="s">
        <v>160</v>
      </c>
      <c r="C80" s="12">
        <v>6</v>
      </c>
    </row>
    <row r="82" spans="2:7" x14ac:dyDescent="0.25">
      <c r="B82" t="s">
        <v>207</v>
      </c>
    </row>
    <row r="83" spans="2:7" ht="15.75" thickBot="1" x14ac:dyDescent="0.3"/>
    <row r="84" spans="2:7" x14ac:dyDescent="0.25">
      <c r="B84" s="24" t="s">
        <v>208</v>
      </c>
      <c r="C84" s="24"/>
    </row>
    <row r="85" spans="2:7" x14ac:dyDescent="0.25">
      <c r="B85" s="22" t="s">
        <v>209</v>
      </c>
      <c r="C85" s="22">
        <v>0.93147661040050889</v>
      </c>
    </row>
    <row r="86" spans="2:7" x14ac:dyDescent="0.25">
      <c r="B86" s="87" t="s">
        <v>210</v>
      </c>
      <c r="C86" s="87">
        <v>0.86764867572322135</v>
      </c>
    </row>
    <row r="87" spans="2:7" x14ac:dyDescent="0.25">
      <c r="B87" s="22" t="s">
        <v>211</v>
      </c>
      <c r="C87" s="22">
        <v>0.83456084465402669</v>
      </c>
    </row>
    <row r="88" spans="2:7" x14ac:dyDescent="0.25">
      <c r="B88" s="22" t="s">
        <v>36</v>
      </c>
      <c r="C88" s="22">
        <v>2.2535128827011395</v>
      </c>
    </row>
    <row r="89" spans="2:7" ht="15.75" thickBot="1" x14ac:dyDescent="0.3">
      <c r="B89" s="23" t="s">
        <v>212</v>
      </c>
      <c r="C89" s="23">
        <v>6</v>
      </c>
    </row>
    <row r="91" spans="2:7" ht="15.75" thickBot="1" x14ac:dyDescent="0.3">
      <c r="B91" t="s">
        <v>213</v>
      </c>
    </row>
    <row r="92" spans="2:7" x14ac:dyDescent="0.25">
      <c r="B92" s="72"/>
      <c r="C92" s="72" t="s">
        <v>217</v>
      </c>
      <c r="D92" s="72" t="s">
        <v>218</v>
      </c>
      <c r="E92" s="72" t="s">
        <v>219</v>
      </c>
      <c r="F92" s="72" t="s">
        <v>220</v>
      </c>
      <c r="G92" s="72" t="s">
        <v>221</v>
      </c>
    </row>
    <row r="93" spans="2:7" x14ac:dyDescent="0.25">
      <c r="B93" s="22" t="s">
        <v>214</v>
      </c>
      <c r="C93" s="22">
        <v>1</v>
      </c>
      <c r="D93" s="22">
        <v>133.16671875000003</v>
      </c>
      <c r="E93" s="22">
        <v>133.16671875000003</v>
      </c>
      <c r="F93" s="22">
        <v>26.222591438790825</v>
      </c>
      <c r="G93" s="22">
        <v>6.8823081398149766E-3</v>
      </c>
    </row>
    <row r="94" spans="2:7" x14ac:dyDescent="0.25">
      <c r="B94" s="22" t="s">
        <v>215</v>
      </c>
      <c r="C94" s="22">
        <v>4</v>
      </c>
      <c r="D94" s="22">
        <v>20.313281249999996</v>
      </c>
      <c r="E94" s="22">
        <v>5.0783203124999989</v>
      </c>
      <c r="F94" s="22"/>
      <c r="G94" s="22"/>
    </row>
    <row r="95" spans="2:7" ht="15.75" thickBot="1" x14ac:dyDescent="0.3">
      <c r="B95" s="23" t="s">
        <v>49</v>
      </c>
      <c r="C95" s="23">
        <v>5</v>
      </c>
      <c r="D95" s="23">
        <v>153.48000000000002</v>
      </c>
      <c r="E95" s="23"/>
      <c r="F95" s="23"/>
      <c r="G95" s="23"/>
    </row>
    <row r="96" spans="2:7" ht="15.75" thickBot="1" x14ac:dyDescent="0.3"/>
    <row r="97" spans="2:11" x14ac:dyDescent="0.25">
      <c r="B97" s="72"/>
      <c r="C97" s="88" t="s">
        <v>222</v>
      </c>
      <c r="D97" s="72" t="s">
        <v>36</v>
      </c>
      <c r="E97" s="72" t="s">
        <v>223</v>
      </c>
      <c r="F97" s="72" t="s">
        <v>224</v>
      </c>
      <c r="G97" s="72" t="s">
        <v>225</v>
      </c>
      <c r="H97" s="72" t="s">
        <v>226</v>
      </c>
      <c r="I97" s="72" t="s">
        <v>227</v>
      </c>
      <c r="J97" s="72" t="s">
        <v>228</v>
      </c>
    </row>
    <row r="98" spans="2:11" x14ac:dyDescent="0.25">
      <c r="B98" s="22" t="s">
        <v>216</v>
      </c>
      <c r="C98" s="87">
        <v>-4.0578125000000007</v>
      </c>
      <c r="D98" s="22">
        <v>2.913814814373235</v>
      </c>
      <c r="E98" s="22">
        <v>-1.3926116649499021</v>
      </c>
      <c r="F98" s="22">
        <v>0.23615427863567012</v>
      </c>
      <c r="G98" s="22">
        <v>-12.147859378819385</v>
      </c>
      <c r="H98" s="22">
        <v>4.0322343788193837</v>
      </c>
      <c r="I98" s="22">
        <v>-12.147859378819385</v>
      </c>
      <c r="J98" s="22">
        <v>4.0322343788193837</v>
      </c>
    </row>
    <row r="99" spans="2:11" ht="15.75" thickBot="1" x14ac:dyDescent="0.3">
      <c r="B99" s="23" t="s">
        <v>229</v>
      </c>
      <c r="C99" s="89">
        <v>1.24921875</v>
      </c>
      <c r="D99" s="23">
        <v>0.243949925521836</v>
      </c>
      <c r="E99" s="23">
        <v>5.1207998827127428</v>
      </c>
      <c r="F99" s="23">
        <v>6.8823081398149705E-3</v>
      </c>
      <c r="G99" s="23">
        <v>0.57190517337153224</v>
      </c>
      <c r="H99" s="23">
        <v>1.9265323266284677</v>
      </c>
      <c r="I99" s="23">
        <v>0.57190517337153224</v>
      </c>
      <c r="J99" s="23">
        <v>1.9265323266284677</v>
      </c>
    </row>
    <row r="108" spans="2:11" x14ac:dyDescent="0.25">
      <c r="C108" s="12" t="s">
        <v>251</v>
      </c>
      <c r="D108" s="12" t="s">
        <v>252</v>
      </c>
      <c r="E108" s="12" t="s">
        <v>250</v>
      </c>
      <c r="F108" s="12"/>
      <c r="G108" s="12"/>
      <c r="H108" s="12"/>
      <c r="I108" s="12"/>
      <c r="J108" s="12"/>
      <c r="K108" s="12"/>
    </row>
    <row r="109" spans="2:11" x14ac:dyDescent="0.25">
      <c r="C109" s="12" t="s">
        <v>241</v>
      </c>
      <c r="D109" s="12" t="s">
        <v>242</v>
      </c>
      <c r="E109" s="12" t="s">
        <v>243</v>
      </c>
      <c r="F109" s="12"/>
      <c r="G109" s="12"/>
      <c r="H109" s="12"/>
      <c r="I109" s="12" t="s">
        <v>263</v>
      </c>
      <c r="J109" s="12"/>
      <c r="K109" s="12"/>
    </row>
    <row r="110" spans="2:11" x14ac:dyDescent="0.25">
      <c r="C110" s="6" t="s">
        <v>136</v>
      </c>
      <c r="D110" s="6" t="s">
        <v>201</v>
      </c>
      <c r="E110" s="6" t="s">
        <v>202</v>
      </c>
      <c r="F110" s="6" t="s">
        <v>244</v>
      </c>
      <c r="G110" s="6" t="s">
        <v>245</v>
      </c>
      <c r="H110" s="6" t="s">
        <v>246</v>
      </c>
      <c r="I110" s="6" t="s">
        <v>247</v>
      </c>
      <c r="J110" s="6" t="s">
        <v>248</v>
      </c>
      <c r="K110" s="6" t="s">
        <v>249</v>
      </c>
    </row>
    <row r="111" spans="2:11" x14ac:dyDescent="0.25">
      <c r="C111" s="12">
        <v>64</v>
      </c>
      <c r="D111" s="12">
        <v>57</v>
      </c>
      <c r="E111" s="12">
        <v>8</v>
      </c>
      <c r="F111" s="12">
        <f>C111^2</f>
        <v>4096</v>
      </c>
      <c r="G111" s="12">
        <f>D111^2</f>
        <v>3249</v>
      </c>
      <c r="H111" s="12">
        <f>E111^2</f>
        <v>64</v>
      </c>
      <c r="I111" s="12">
        <f>D111*C111</f>
        <v>3648</v>
      </c>
      <c r="J111" s="12">
        <f>D111*E111</f>
        <v>456</v>
      </c>
      <c r="K111" s="12">
        <f>E111*C111</f>
        <v>512</v>
      </c>
    </row>
    <row r="112" spans="2:11" x14ac:dyDescent="0.25">
      <c r="C112" s="12">
        <v>71</v>
      </c>
      <c r="D112" s="12">
        <v>59</v>
      </c>
      <c r="E112" s="12">
        <v>10</v>
      </c>
      <c r="F112" s="12">
        <f t="shared" ref="F112:F122" si="7">C112^2</f>
        <v>5041</v>
      </c>
      <c r="G112" s="12">
        <f t="shared" ref="G112:G122" si="8">D112^2</f>
        <v>3481</v>
      </c>
      <c r="H112" s="12">
        <f t="shared" ref="H112:H122" si="9">E112^2</f>
        <v>100</v>
      </c>
      <c r="I112" s="12">
        <f t="shared" ref="I112:I122" si="10">D112*C112</f>
        <v>4189</v>
      </c>
      <c r="J112" s="12">
        <f t="shared" ref="J112:J122" si="11">D112*E112</f>
        <v>590</v>
      </c>
      <c r="K112" s="12">
        <f t="shared" ref="K112:K122" si="12">E112*C112</f>
        <v>710</v>
      </c>
    </row>
    <row r="113" spans="2:11" x14ac:dyDescent="0.25">
      <c r="C113" s="12">
        <v>53</v>
      </c>
      <c r="D113" s="12">
        <v>49</v>
      </c>
      <c r="E113" s="12">
        <v>6</v>
      </c>
      <c r="F113" s="12">
        <f t="shared" si="7"/>
        <v>2809</v>
      </c>
      <c r="G113" s="12">
        <f t="shared" si="8"/>
        <v>2401</v>
      </c>
      <c r="H113" s="12">
        <f t="shared" si="9"/>
        <v>36</v>
      </c>
      <c r="I113" s="12">
        <f t="shared" si="10"/>
        <v>2597</v>
      </c>
      <c r="J113" s="12">
        <f t="shared" si="11"/>
        <v>294</v>
      </c>
      <c r="K113" s="12">
        <f t="shared" si="12"/>
        <v>318</v>
      </c>
    </row>
    <row r="114" spans="2:11" x14ac:dyDescent="0.25">
      <c r="C114" s="12">
        <v>67</v>
      </c>
      <c r="D114" s="12">
        <v>62</v>
      </c>
      <c r="E114" s="12">
        <v>11</v>
      </c>
      <c r="F114" s="12">
        <f t="shared" si="7"/>
        <v>4489</v>
      </c>
      <c r="G114" s="12">
        <f t="shared" si="8"/>
        <v>3844</v>
      </c>
      <c r="H114" s="12">
        <f t="shared" si="9"/>
        <v>121</v>
      </c>
      <c r="I114" s="12">
        <f t="shared" si="10"/>
        <v>4154</v>
      </c>
      <c r="J114" s="12">
        <f t="shared" si="11"/>
        <v>682</v>
      </c>
      <c r="K114" s="12">
        <f t="shared" si="12"/>
        <v>737</v>
      </c>
    </row>
    <row r="115" spans="2:11" x14ac:dyDescent="0.25">
      <c r="C115" s="12">
        <v>55</v>
      </c>
      <c r="D115" s="12">
        <v>51</v>
      </c>
      <c r="E115" s="12">
        <v>8</v>
      </c>
      <c r="F115" s="12">
        <f t="shared" si="7"/>
        <v>3025</v>
      </c>
      <c r="G115" s="12">
        <f t="shared" si="8"/>
        <v>2601</v>
      </c>
      <c r="H115" s="12">
        <f t="shared" si="9"/>
        <v>64</v>
      </c>
      <c r="I115" s="12">
        <f t="shared" si="10"/>
        <v>2805</v>
      </c>
      <c r="J115" s="12">
        <f t="shared" si="11"/>
        <v>408</v>
      </c>
      <c r="K115" s="12">
        <f t="shared" si="12"/>
        <v>440</v>
      </c>
    </row>
    <row r="116" spans="2:11" x14ac:dyDescent="0.25">
      <c r="C116" s="12">
        <v>58</v>
      </c>
      <c r="D116" s="12">
        <v>50</v>
      </c>
      <c r="E116" s="12">
        <v>7</v>
      </c>
      <c r="F116" s="12">
        <f t="shared" si="7"/>
        <v>3364</v>
      </c>
      <c r="G116" s="12">
        <f t="shared" si="8"/>
        <v>2500</v>
      </c>
      <c r="H116" s="12">
        <f t="shared" si="9"/>
        <v>49</v>
      </c>
      <c r="I116" s="12">
        <f t="shared" si="10"/>
        <v>2900</v>
      </c>
      <c r="J116" s="12">
        <f t="shared" si="11"/>
        <v>350</v>
      </c>
      <c r="K116" s="12">
        <f t="shared" si="12"/>
        <v>406</v>
      </c>
    </row>
    <row r="117" spans="2:11" x14ac:dyDescent="0.25">
      <c r="C117" s="12">
        <v>77</v>
      </c>
      <c r="D117" s="12">
        <v>55</v>
      </c>
      <c r="E117" s="12">
        <v>10</v>
      </c>
      <c r="F117" s="12">
        <f t="shared" si="7"/>
        <v>5929</v>
      </c>
      <c r="G117" s="12">
        <f t="shared" si="8"/>
        <v>3025</v>
      </c>
      <c r="H117" s="12">
        <f t="shared" si="9"/>
        <v>100</v>
      </c>
      <c r="I117" s="12">
        <f t="shared" si="10"/>
        <v>4235</v>
      </c>
      <c r="J117" s="12">
        <f t="shared" si="11"/>
        <v>550</v>
      </c>
      <c r="K117" s="12">
        <f t="shared" si="12"/>
        <v>770</v>
      </c>
    </row>
    <row r="118" spans="2:11" x14ac:dyDescent="0.25">
      <c r="C118" s="12">
        <v>57</v>
      </c>
      <c r="D118" s="12">
        <v>48</v>
      </c>
      <c r="E118" s="12">
        <v>9</v>
      </c>
      <c r="F118" s="12">
        <f t="shared" si="7"/>
        <v>3249</v>
      </c>
      <c r="G118" s="12">
        <f t="shared" si="8"/>
        <v>2304</v>
      </c>
      <c r="H118" s="12">
        <f t="shared" si="9"/>
        <v>81</v>
      </c>
      <c r="I118" s="12">
        <f t="shared" si="10"/>
        <v>2736</v>
      </c>
      <c r="J118" s="12">
        <f t="shared" si="11"/>
        <v>432</v>
      </c>
      <c r="K118" s="12">
        <f t="shared" si="12"/>
        <v>513</v>
      </c>
    </row>
    <row r="119" spans="2:11" x14ac:dyDescent="0.25">
      <c r="C119" s="12">
        <v>56</v>
      </c>
      <c r="D119" s="12">
        <v>52</v>
      </c>
      <c r="E119" s="12">
        <v>10</v>
      </c>
      <c r="F119" s="12">
        <f t="shared" si="7"/>
        <v>3136</v>
      </c>
      <c r="G119" s="12">
        <f t="shared" si="8"/>
        <v>2704</v>
      </c>
      <c r="H119" s="12">
        <f t="shared" si="9"/>
        <v>100</v>
      </c>
      <c r="I119" s="12">
        <f t="shared" si="10"/>
        <v>2912</v>
      </c>
      <c r="J119" s="12">
        <f t="shared" si="11"/>
        <v>520</v>
      </c>
      <c r="K119" s="12">
        <f t="shared" si="12"/>
        <v>560</v>
      </c>
    </row>
    <row r="120" spans="2:11" x14ac:dyDescent="0.25">
      <c r="C120" s="12">
        <v>51</v>
      </c>
      <c r="D120" s="12">
        <v>42</v>
      </c>
      <c r="E120" s="12">
        <v>6</v>
      </c>
      <c r="F120" s="12">
        <f t="shared" si="7"/>
        <v>2601</v>
      </c>
      <c r="G120" s="12">
        <f t="shared" si="8"/>
        <v>1764</v>
      </c>
      <c r="H120" s="12">
        <f t="shared" si="9"/>
        <v>36</v>
      </c>
      <c r="I120" s="12">
        <f t="shared" si="10"/>
        <v>2142</v>
      </c>
      <c r="J120" s="12">
        <f t="shared" si="11"/>
        <v>252</v>
      </c>
      <c r="K120" s="12">
        <f t="shared" si="12"/>
        <v>306</v>
      </c>
    </row>
    <row r="121" spans="2:11" x14ac:dyDescent="0.25">
      <c r="C121" s="12">
        <v>76</v>
      </c>
      <c r="D121" s="12">
        <v>61</v>
      </c>
      <c r="E121" s="12">
        <v>12</v>
      </c>
      <c r="F121" s="12">
        <f t="shared" si="7"/>
        <v>5776</v>
      </c>
      <c r="G121" s="12">
        <f t="shared" si="8"/>
        <v>3721</v>
      </c>
      <c r="H121" s="12">
        <f t="shared" si="9"/>
        <v>144</v>
      </c>
      <c r="I121" s="12">
        <f t="shared" si="10"/>
        <v>4636</v>
      </c>
      <c r="J121" s="12">
        <f t="shared" si="11"/>
        <v>732</v>
      </c>
      <c r="K121" s="12">
        <f t="shared" si="12"/>
        <v>912</v>
      </c>
    </row>
    <row r="122" spans="2:11" x14ac:dyDescent="0.25">
      <c r="C122" s="12">
        <v>68</v>
      </c>
      <c r="D122" s="12">
        <v>57</v>
      </c>
      <c r="E122" s="12">
        <v>9</v>
      </c>
      <c r="F122" s="12">
        <f t="shared" si="7"/>
        <v>4624</v>
      </c>
      <c r="G122" s="12">
        <f t="shared" si="8"/>
        <v>3249</v>
      </c>
      <c r="H122" s="12">
        <f t="shared" si="9"/>
        <v>81</v>
      </c>
      <c r="I122" s="12">
        <f t="shared" si="10"/>
        <v>3876</v>
      </c>
      <c r="J122" s="12">
        <f t="shared" si="11"/>
        <v>513</v>
      </c>
      <c r="K122" s="12">
        <f t="shared" si="12"/>
        <v>612</v>
      </c>
    </row>
    <row r="123" spans="2:11" x14ac:dyDescent="0.25">
      <c r="C123" s="91">
        <f>SUM(C111:C122)</f>
        <v>753</v>
      </c>
      <c r="D123" s="91">
        <f t="shared" ref="D123:K123" si="13">SUM(D111:D122)</f>
        <v>643</v>
      </c>
      <c r="E123" s="91">
        <f t="shared" si="13"/>
        <v>106</v>
      </c>
      <c r="F123" s="91">
        <f t="shared" si="13"/>
        <v>48139</v>
      </c>
      <c r="G123" s="91">
        <f t="shared" si="13"/>
        <v>34843</v>
      </c>
      <c r="H123" s="91">
        <f t="shared" si="13"/>
        <v>976</v>
      </c>
      <c r="I123" s="91">
        <f t="shared" si="13"/>
        <v>40830</v>
      </c>
      <c r="J123" s="91">
        <f t="shared" si="13"/>
        <v>5779</v>
      </c>
      <c r="K123" s="91">
        <f t="shared" si="13"/>
        <v>6796</v>
      </c>
    </row>
    <row r="125" spans="2:11" x14ac:dyDescent="0.25">
      <c r="C125" s="6" t="s">
        <v>256</v>
      </c>
      <c r="D125" s="6" t="s">
        <v>257</v>
      </c>
      <c r="E125" s="6" t="s">
        <v>258</v>
      </c>
      <c r="F125" s="6" t="s">
        <v>259</v>
      </c>
      <c r="H125" s="181" t="s">
        <v>260</v>
      </c>
      <c r="I125" s="181"/>
      <c r="J125" s="181"/>
    </row>
    <row r="126" spans="2:11" x14ac:dyDescent="0.25">
      <c r="B126" s="6" t="s">
        <v>253</v>
      </c>
      <c r="C126" s="12">
        <v>12</v>
      </c>
      <c r="D126" s="12">
        <f>D123</f>
        <v>643</v>
      </c>
      <c r="E126" s="12">
        <f>E123</f>
        <v>106</v>
      </c>
      <c r="F126" s="12">
        <f>C123</f>
        <v>753</v>
      </c>
      <c r="H126" s="12">
        <f>MINVERSE(C126:E128)</f>
        <v>9.0876542106201939</v>
      </c>
      <c r="I126" s="12">
        <v>-0.2234043</v>
      </c>
      <c r="J126" s="12">
        <v>0.3358216</v>
      </c>
    </row>
    <row r="127" spans="2:11" x14ac:dyDescent="0.25">
      <c r="B127" s="6" t="s">
        <v>254</v>
      </c>
      <c r="C127" s="12">
        <f>D123</f>
        <v>643</v>
      </c>
      <c r="D127" s="12">
        <f>G123</f>
        <v>34843</v>
      </c>
      <c r="E127" s="12">
        <f>J123</f>
        <v>5779</v>
      </c>
      <c r="F127" s="12">
        <f>I123</f>
        <v>40830</v>
      </c>
      <c r="H127" s="12">
        <v>-0.2234043</v>
      </c>
      <c r="I127" s="12">
        <v>7.0921999999999999E-3</v>
      </c>
      <c r="J127" s="12">
        <v>-1.77305E-2</v>
      </c>
    </row>
    <row r="128" spans="2:11" x14ac:dyDescent="0.25">
      <c r="B128" s="6" t="s">
        <v>255</v>
      </c>
      <c r="C128" s="12">
        <f>E123</f>
        <v>106</v>
      </c>
      <c r="D128" s="12">
        <f>J123</f>
        <v>5779</v>
      </c>
      <c r="E128" s="12">
        <f>H123</f>
        <v>976</v>
      </c>
      <c r="F128" s="12">
        <f>K123</f>
        <v>6796</v>
      </c>
      <c r="H128" s="12">
        <v>0.3358216</v>
      </c>
      <c r="I128" s="12">
        <v>-1.7773049999999999E-2</v>
      </c>
      <c r="J128" s="12">
        <v>6.9536299999999995E-2</v>
      </c>
    </row>
    <row r="130" spans="2:9" x14ac:dyDescent="0.25">
      <c r="C130" s="6" t="s">
        <v>256</v>
      </c>
      <c r="D130" s="12">
        <f>MMULT(MINVERSE(C126:E128),F126:F128)</f>
        <v>3.6512158054738393</v>
      </c>
    </row>
    <row r="131" spans="2:9" x14ac:dyDescent="0.25">
      <c r="C131" s="6" t="s">
        <v>257</v>
      </c>
      <c r="D131" s="12">
        <v>0.85460999999999998</v>
      </c>
    </row>
    <row r="132" spans="2:9" x14ac:dyDescent="0.25">
      <c r="C132" s="6" t="s">
        <v>258</v>
      </c>
      <c r="D132" s="12">
        <v>1.506332</v>
      </c>
    </row>
    <row r="134" spans="2:9" x14ac:dyDescent="0.25">
      <c r="B134" t="s">
        <v>261</v>
      </c>
    </row>
    <row r="135" spans="2:9" x14ac:dyDescent="0.25">
      <c r="G135" s="182" t="s">
        <v>169</v>
      </c>
      <c r="H135" s="182"/>
      <c r="I135" s="182"/>
    </row>
    <row r="136" spans="2:9" x14ac:dyDescent="0.25">
      <c r="C136" s="150" t="s">
        <v>137</v>
      </c>
      <c r="D136" s="150"/>
      <c r="G136" s="12" t="s">
        <v>251</v>
      </c>
      <c r="H136" s="12" t="s">
        <v>252</v>
      </c>
      <c r="I136" s="12" t="s">
        <v>250</v>
      </c>
    </row>
    <row r="137" spans="2:9" x14ac:dyDescent="0.25">
      <c r="C137" s="6" t="s">
        <v>136</v>
      </c>
      <c r="D137" s="6" t="s">
        <v>262</v>
      </c>
      <c r="G137" s="12" t="s">
        <v>241</v>
      </c>
      <c r="H137" s="12" t="s">
        <v>242</v>
      </c>
      <c r="I137" s="12" t="s">
        <v>243</v>
      </c>
    </row>
    <row r="138" spans="2:9" x14ac:dyDescent="0.25">
      <c r="C138" s="12">
        <v>64</v>
      </c>
      <c r="D138" s="12">
        <f>$D$130 + ($D$131*D111)+($D$132*E111)</f>
        <v>64.414641805473835</v>
      </c>
      <c r="G138" s="6" t="s">
        <v>136</v>
      </c>
      <c r="H138" s="6" t="s">
        <v>201</v>
      </c>
      <c r="I138" s="6" t="s">
        <v>202</v>
      </c>
    </row>
    <row r="139" spans="2:9" x14ac:dyDescent="0.25">
      <c r="B139" t="s">
        <v>264</v>
      </c>
      <c r="C139" s="12">
        <v>71</v>
      </c>
      <c r="D139" s="12">
        <f t="shared" ref="D139:D149" si="14">$D$130 + ($D$131*D112)+($D$132*E112)</f>
        <v>69.136525805473838</v>
      </c>
      <c r="G139" s="12">
        <f>3.6512158 + (0.85461*H139)+(1.506332*I139)</f>
        <v>63.357143800000003</v>
      </c>
      <c r="H139" s="12">
        <v>54</v>
      </c>
      <c r="I139" s="12">
        <v>9</v>
      </c>
    </row>
    <row r="140" spans="2:9" x14ac:dyDescent="0.25">
      <c r="B140" t="s">
        <v>266</v>
      </c>
      <c r="C140" s="12">
        <v>53</v>
      </c>
      <c r="D140" s="12">
        <f t="shared" si="14"/>
        <v>54.56509780547384</v>
      </c>
    </row>
    <row r="141" spans="2:9" x14ac:dyDescent="0.25">
      <c r="B141" t="s">
        <v>265</v>
      </c>
      <c r="C141" s="12">
        <v>67</v>
      </c>
      <c r="D141" s="12">
        <f t="shared" si="14"/>
        <v>73.206687805473834</v>
      </c>
    </row>
    <row r="142" spans="2:9" x14ac:dyDescent="0.25">
      <c r="C142" s="12">
        <v>55</v>
      </c>
      <c r="D142" s="12">
        <f t="shared" si="14"/>
        <v>59.286981805473843</v>
      </c>
    </row>
    <row r="143" spans="2:9" x14ac:dyDescent="0.25">
      <c r="C143" s="12">
        <v>58</v>
      </c>
      <c r="D143" s="12">
        <f t="shared" si="14"/>
        <v>56.926039805473835</v>
      </c>
    </row>
    <row r="144" spans="2:9" x14ac:dyDescent="0.25">
      <c r="C144" s="12">
        <v>77</v>
      </c>
      <c r="D144" s="12">
        <f t="shared" si="14"/>
        <v>65.718085805473834</v>
      </c>
    </row>
    <row r="145" spans="3:4" x14ac:dyDescent="0.25">
      <c r="C145" s="12">
        <v>57</v>
      </c>
      <c r="D145" s="12">
        <f t="shared" si="14"/>
        <v>58.229483805473834</v>
      </c>
    </row>
    <row r="146" spans="3:4" x14ac:dyDescent="0.25">
      <c r="C146" s="12">
        <v>56</v>
      </c>
      <c r="D146" s="12">
        <f t="shared" si="14"/>
        <v>63.154255805473838</v>
      </c>
    </row>
    <row r="147" spans="3:4" x14ac:dyDescent="0.25">
      <c r="C147" s="12">
        <v>51</v>
      </c>
      <c r="D147" s="12">
        <f t="shared" si="14"/>
        <v>48.58282780547384</v>
      </c>
    </row>
    <row r="148" spans="3:4" x14ac:dyDescent="0.25">
      <c r="C148" s="12">
        <v>76</v>
      </c>
      <c r="D148" s="12">
        <f t="shared" si="14"/>
        <v>73.858409805473826</v>
      </c>
    </row>
    <row r="149" spans="3:4" x14ac:dyDescent="0.25">
      <c r="C149" s="12">
        <v>68</v>
      </c>
      <c r="D149" s="12">
        <f t="shared" si="14"/>
        <v>65.920973805473835</v>
      </c>
    </row>
  </sheetData>
  <mergeCells count="4">
    <mergeCell ref="B2:F2"/>
    <mergeCell ref="H125:J125"/>
    <mergeCell ref="C136:D136"/>
    <mergeCell ref="G135:I135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8839-01E8-4541-94E8-13D380C3170F}">
  <dimension ref="B2:J76"/>
  <sheetViews>
    <sheetView zoomScale="74" workbookViewId="0">
      <selection activeCell="B2" sqref="B2:E3"/>
    </sheetView>
  </sheetViews>
  <sheetFormatPr baseColWidth="10" defaultRowHeight="15" x14ac:dyDescent="0.25"/>
  <cols>
    <col min="2" max="2" width="32.85546875" bestFit="1" customWidth="1"/>
    <col min="3" max="3" width="15.140625" bestFit="1" customWidth="1"/>
    <col min="4" max="4" width="23.42578125" bestFit="1" customWidth="1"/>
    <col min="5" max="5" width="25.42578125" bestFit="1" customWidth="1"/>
    <col min="6" max="6" width="12.42578125" bestFit="1" customWidth="1"/>
    <col min="7" max="7" width="12.7109375" bestFit="1" customWidth="1"/>
    <col min="8" max="10" width="11.5703125" bestFit="1" customWidth="1"/>
  </cols>
  <sheetData>
    <row r="2" spans="2:8" ht="15" customHeight="1" x14ac:dyDescent="0.25">
      <c r="B2" s="184" t="s">
        <v>291</v>
      </c>
      <c r="C2" s="184"/>
      <c r="D2" s="184"/>
      <c r="E2" s="184"/>
    </row>
    <row r="3" spans="2:8" ht="15" customHeight="1" x14ac:dyDescent="0.25">
      <c r="B3" s="184"/>
      <c r="C3" s="184"/>
      <c r="D3" s="184"/>
      <c r="E3" s="184"/>
    </row>
    <row r="5" spans="2:8" x14ac:dyDescent="0.25">
      <c r="B5" s="183" t="s">
        <v>267</v>
      </c>
      <c r="C5" s="183"/>
      <c r="D5" s="183"/>
      <c r="E5" s="183"/>
      <c r="F5" s="183"/>
      <c r="G5" s="183"/>
      <c r="H5" s="183"/>
    </row>
    <row r="6" spans="2:8" x14ac:dyDescent="0.25">
      <c r="B6" s="183"/>
      <c r="C6" s="183"/>
      <c r="D6" s="183"/>
      <c r="E6" s="183"/>
      <c r="F6" s="183"/>
      <c r="G6" s="183"/>
      <c r="H6" s="183"/>
    </row>
    <row r="8" spans="2:8" x14ac:dyDescent="0.25">
      <c r="B8" s="142" t="s">
        <v>268</v>
      </c>
      <c r="C8" s="93" t="s">
        <v>279</v>
      </c>
      <c r="D8" s="93" t="s">
        <v>280</v>
      </c>
    </row>
    <row r="9" spans="2:8" x14ac:dyDescent="0.25">
      <c r="B9" s="12" t="s">
        <v>269</v>
      </c>
      <c r="C9" s="12">
        <v>400</v>
      </c>
      <c r="D9" s="12">
        <v>200</v>
      </c>
    </row>
    <row r="10" spans="2:8" x14ac:dyDescent="0.25">
      <c r="B10" s="12" t="s">
        <v>270</v>
      </c>
      <c r="C10" s="12">
        <v>350</v>
      </c>
      <c r="D10" s="12">
        <v>150</v>
      </c>
    </row>
    <row r="11" spans="2:8" x14ac:dyDescent="0.25">
      <c r="B11" s="12" t="s">
        <v>271</v>
      </c>
      <c r="C11" s="12">
        <v>380</v>
      </c>
      <c r="D11" s="12">
        <v>130</v>
      </c>
    </row>
    <row r="12" spans="2:8" x14ac:dyDescent="0.25">
      <c r="B12" s="12" t="s">
        <v>272</v>
      </c>
      <c r="C12" s="12">
        <v>440</v>
      </c>
      <c r="D12" s="12">
        <v>320</v>
      </c>
    </row>
    <row r="13" spans="2:8" x14ac:dyDescent="0.25">
      <c r="B13" s="12" t="s">
        <v>273</v>
      </c>
      <c r="C13" s="12">
        <v>500</v>
      </c>
      <c r="D13" s="12">
        <v>450</v>
      </c>
    </row>
    <row r="14" spans="2:8" x14ac:dyDescent="0.25">
      <c r="B14" s="12" t="s">
        <v>274</v>
      </c>
      <c r="C14" s="12">
        <v>580</v>
      </c>
      <c r="D14" s="12">
        <v>550</v>
      </c>
    </row>
    <row r="15" spans="2:8" x14ac:dyDescent="0.25">
      <c r="B15" s="12" t="s">
        <v>275</v>
      </c>
      <c r="C15" s="12">
        <v>640</v>
      </c>
      <c r="D15" s="12">
        <v>580</v>
      </c>
    </row>
    <row r="16" spans="2:8" x14ac:dyDescent="0.25">
      <c r="B16" s="12" t="s">
        <v>276</v>
      </c>
      <c r="C16" s="12">
        <v>700</v>
      </c>
      <c r="D16" s="12">
        <v>600</v>
      </c>
    </row>
    <row r="17" spans="2:7" x14ac:dyDescent="0.25">
      <c r="B17" s="12" t="s">
        <v>277</v>
      </c>
      <c r="C17" s="12">
        <v>800</v>
      </c>
      <c r="D17" s="12">
        <v>680</v>
      </c>
    </row>
    <row r="18" spans="2:7" x14ac:dyDescent="0.25">
      <c r="B18" s="12" t="s">
        <v>278</v>
      </c>
      <c r="C18" s="12">
        <v>900</v>
      </c>
      <c r="D18" s="12">
        <v>720</v>
      </c>
    </row>
    <row r="20" spans="2:7" x14ac:dyDescent="0.25">
      <c r="B20" t="s">
        <v>207</v>
      </c>
    </row>
    <row r="21" spans="2:7" ht="15.75" thickBot="1" x14ac:dyDescent="0.3"/>
    <row r="22" spans="2:7" x14ac:dyDescent="0.25">
      <c r="B22" s="24" t="s">
        <v>208</v>
      </c>
      <c r="C22" s="24"/>
      <c r="E22" s="24" t="s">
        <v>283</v>
      </c>
    </row>
    <row r="23" spans="2:7" x14ac:dyDescent="0.25">
      <c r="B23" s="22" t="s">
        <v>293</v>
      </c>
      <c r="C23" s="94">
        <v>0.94890144714352564</v>
      </c>
      <c r="E23" s="92">
        <f>CORREL(C9:C18,D9:D18)</f>
        <v>0.94890144714352564</v>
      </c>
      <c r="F23" t="s">
        <v>284</v>
      </c>
    </row>
    <row r="24" spans="2:7" x14ac:dyDescent="0.25">
      <c r="B24" s="22" t="s">
        <v>210</v>
      </c>
      <c r="C24" s="94">
        <v>0.90041395639107713</v>
      </c>
      <c r="E24" s="92">
        <f>RSQ(D9:D18,C9:C18)</f>
        <v>0.90041395639107724</v>
      </c>
      <c r="F24" t="s">
        <v>294</v>
      </c>
    </row>
    <row r="25" spans="2:7" x14ac:dyDescent="0.25">
      <c r="B25" s="22" t="s">
        <v>211</v>
      </c>
      <c r="C25" s="22">
        <v>0.88796570093996174</v>
      </c>
    </row>
    <row r="26" spans="2:7" x14ac:dyDescent="0.25">
      <c r="B26" s="22" t="s">
        <v>36</v>
      </c>
      <c r="C26" s="22">
        <v>74.474456686832937</v>
      </c>
    </row>
    <row r="27" spans="2:7" ht="15.75" thickBot="1" x14ac:dyDescent="0.3">
      <c r="B27" s="23" t="s">
        <v>212</v>
      </c>
      <c r="C27" s="23">
        <v>10</v>
      </c>
    </row>
    <row r="29" spans="2:7" ht="15.75" thickBot="1" x14ac:dyDescent="0.3">
      <c r="B29" t="s">
        <v>213</v>
      </c>
    </row>
    <row r="30" spans="2:7" x14ac:dyDescent="0.25">
      <c r="B30" s="72"/>
      <c r="C30" s="72" t="s">
        <v>217</v>
      </c>
      <c r="D30" s="72" t="s">
        <v>218</v>
      </c>
      <c r="E30" s="72" t="s">
        <v>219</v>
      </c>
      <c r="F30" s="72" t="s">
        <v>220</v>
      </c>
      <c r="G30" s="72" t="s">
        <v>221</v>
      </c>
    </row>
    <row r="31" spans="2:7" x14ac:dyDescent="0.25">
      <c r="B31" s="22" t="s">
        <v>214</v>
      </c>
      <c r="C31" s="22">
        <v>1</v>
      </c>
      <c r="D31" s="22">
        <v>401188.44240960834</v>
      </c>
      <c r="E31" s="22">
        <v>401188.44240960834</v>
      </c>
      <c r="F31" s="22">
        <v>72.332541690442326</v>
      </c>
      <c r="G31" s="22">
        <v>2.8036902314337384E-5</v>
      </c>
    </row>
    <row r="32" spans="2:7" x14ac:dyDescent="0.25">
      <c r="B32" s="22" t="s">
        <v>215</v>
      </c>
      <c r="C32" s="22">
        <v>8</v>
      </c>
      <c r="D32" s="22">
        <v>44371.557590391647</v>
      </c>
      <c r="E32" s="22">
        <v>5546.4446987989559</v>
      </c>
      <c r="F32" s="22"/>
      <c r="G32" s="22"/>
    </row>
    <row r="33" spans="2:10" ht="15.75" thickBot="1" x14ac:dyDescent="0.3">
      <c r="B33" s="23" t="s">
        <v>49</v>
      </c>
      <c r="C33" s="23">
        <v>9</v>
      </c>
      <c r="D33" s="23">
        <v>445560</v>
      </c>
      <c r="E33" s="23"/>
      <c r="F33" s="23"/>
      <c r="G33" s="23"/>
    </row>
    <row r="34" spans="2:10" ht="15.75" thickBot="1" x14ac:dyDescent="0.3"/>
    <row r="35" spans="2:10" x14ac:dyDescent="0.25">
      <c r="B35" s="72"/>
      <c r="C35" s="72" t="s">
        <v>222</v>
      </c>
      <c r="D35" s="72" t="s">
        <v>36</v>
      </c>
      <c r="E35" s="72" t="s">
        <v>223</v>
      </c>
      <c r="F35" s="72" t="s">
        <v>224</v>
      </c>
      <c r="G35" s="72" t="s">
        <v>225</v>
      </c>
      <c r="H35" s="72" t="s">
        <v>226</v>
      </c>
      <c r="I35" s="72" t="s">
        <v>227</v>
      </c>
      <c r="J35" s="72" t="s">
        <v>228</v>
      </c>
    </row>
    <row r="36" spans="2:10" x14ac:dyDescent="0.25">
      <c r="B36" s="22" t="s">
        <v>216</v>
      </c>
      <c r="C36" s="22">
        <v>-200.2135532628804</v>
      </c>
      <c r="D36" s="22">
        <v>78.649922651694496</v>
      </c>
      <c r="E36" s="22">
        <v>-2.5456293727018284</v>
      </c>
      <c r="F36" s="22">
        <v>3.4407937110534907E-2</v>
      </c>
      <c r="G36" s="22">
        <v>-381.5806001311758</v>
      </c>
      <c r="H36" s="22">
        <v>-18.846506394584992</v>
      </c>
      <c r="I36" s="22">
        <v>-381.5806001311758</v>
      </c>
      <c r="J36" s="22">
        <v>-18.846506394584992</v>
      </c>
    </row>
    <row r="37" spans="2:10" ht="15.75" thickBot="1" x14ac:dyDescent="0.3">
      <c r="B37" s="23" t="s">
        <v>281</v>
      </c>
      <c r="C37" s="23">
        <v>1.1216406911474173</v>
      </c>
      <c r="D37" s="23">
        <v>0.13188241563538355</v>
      </c>
      <c r="E37" s="23">
        <v>8.5048540075913301</v>
      </c>
      <c r="F37" s="23">
        <v>2.8036902314337431E-5</v>
      </c>
      <c r="G37" s="23">
        <v>0.81751929533150802</v>
      </c>
      <c r="H37" s="23">
        <v>1.4257620869633265</v>
      </c>
      <c r="I37" s="23">
        <v>0.81751929533150802</v>
      </c>
      <c r="J37" s="23">
        <v>1.4257620869633265</v>
      </c>
    </row>
    <row r="40" spans="2:10" x14ac:dyDescent="0.25">
      <c r="B40" t="s">
        <v>289</v>
      </c>
    </row>
    <row r="41" spans="2:10" x14ac:dyDescent="0.25">
      <c r="B41" t="s">
        <v>282</v>
      </c>
    </row>
    <row r="42" spans="2:10" x14ac:dyDescent="0.25">
      <c r="B42" t="s">
        <v>285</v>
      </c>
    </row>
    <row r="44" spans="2:10" x14ac:dyDescent="0.25">
      <c r="B44" s="93" t="s">
        <v>268</v>
      </c>
      <c r="C44" s="93" t="s">
        <v>286</v>
      </c>
      <c r="D44" s="93" t="s">
        <v>287</v>
      </c>
      <c r="E44" s="93" t="s">
        <v>288</v>
      </c>
    </row>
    <row r="45" spans="2:10" x14ac:dyDescent="0.25">
      <c r="B45" s="12" t="s">
        <v>269</v>
      </c>
      <c r="C45" s="12">
        <v>45</v>
      </c>
      <c r="D45" s="12">
        <v>16</v>
      </c>
      <c r="E45" s="12">
        <v>29</v>
      </c>
    </row>
    <row r="46" spans="2:10" x14ac:dyDescent="0.25">
      <c r="B46" s="12" t="s">
        <v>270</v>
      </c>
      <c r="C46" s="12">
        <v>42</v>
      </c>
      <c r="D46" s="12">
        <v>14</v>
      </c>
      <c r="E46" s="12">
        <v>24</v>
      </c>
    </row>
    <row r="47" spans="2:10" x14ac:dyDescent="0.25">
      <c r="B47" s="12" t="s">
        <v>271</v>
      </c>
      <c r="C47" s="12">
        <v>44</v>
      </c>
      <c r="D47" s="12">
        <v>15</v>
      </c>
      <c r="E47" s="12">
        <v>27</v>
      </c>
    </row>
    <row r="48" spans="2:10" x14ac:dyDescent="0.25">
      <c r="B48" s="12" t="s">
        <v>272</v>
      </c>
      <c r="C48" s="12">
        <v>45</v>
      </c>
      <c r="D48" s="12">
        <v>13</v>
      </c>
      <c r="E48" s="12">
        <v>25</v>
      </c>
    </row>
    <row r="49" spans="2:7" x14ac:dyDescent="0.25">
      <c r="B49" s="12" t="s">
        <v>273</v>
      </c>
      <c r="C49" s="12">
        <v>43</v>
      </c>
      <c r="D49" s="12">
        <v>13</v>
      </c>
      <c r="E49" s="12">
        <v>26</v>
      </c>
    </row>
    <row r="50" spans="2:7" x14ac:dyDescent="0.25">
      <c r="B50" s="12" t="s">
        <v>274</v>
      </c>
      <c r="C50" s="12">
        <v>46</v>
      </c>
      <c r="D50" s="12">
        <v>14</v>
      </c>
      <c r="E50" s="12">
        <v>28</v>
      </c>
    </row>
    <row r="51" spans="2:7" x14ac:dyDescent="0.25">
      <c r="B51" s="12"/>
      <c r="C51" s="12"/>
      <c r="D51" s="12"/>
      <c r="E51" s="12"/>
    </row>
    <row r="53" spans="2:7" x14ac:dyDescent="0.25">
      <c r="B53" t="s">
        <v>207</v>
      </c>
    </row>
    <row r="54" spans="2:7" ht="15.75" thickBot="1" x14ac:dyDescent="0.3"/>
    <row r="55" spans="2:7" x14ac:dyDescent="0.25">
      <c r="B55" s="24" t="s">
        <v>208</v>
      </c>
      <c r="C55" s="24"/>
    </row>
    <row r="56" spans="2:7" x14ac:dyDescent="0.25">
      <c r="B56" s="22" t="s">
        <v>209</v>
      </c>
      <c r="C56" s="94">
        <v>0.88328289876193289</v>
      </c>
      <c r="D56" s="95" t="s">
        <v>296</v>
      </c>
      <c r="E56" s="95"/>
    </row>
    <row r="57" spans="2:7" x14ac:dyDescent="0.25">
      <c r="B57" s="22" t="s">
        <v>210</v>
      </c>
      <c r="C57" s="94">
        <v>0.78018867924528301</v>
      </c>
      <c r="D57" t="s">
        <v>295</v>
      </c>
      <c r="E57" s="95"/>
    </row>
    <row r="58" spans="2:7" x14ac:dyDescent="0.25">
      <c r="B58" s="22" t="s">
        <v>211</v>
      </c>
      <c r="C58" s="22">
        <v>0.63364779874213839</v>
      </c>
    </row>
    <row r="59" spans="2:7" x14ac:dyDescent="0.25">
      <c r="B59" s="22" t="s">
        <v>36</v>
      </c>
      <c r="C59" s="22">
        <v>1.1323571452516721</v>
      </c>
    </row>
    <row r="60" spans="2:7" ht="15.75" thickBot="1" x14ac:dyDescent="0.3">
      <c r="B60" s="23" t="s">
        <v>212</v>
      </c>
      <c r="C60" s="23">
        <v>6</v>
      </c>
    </row>
    <row r="62" spans="2:7" ht="15.75" thickBot="1" x14ac:dyDescent="0.3">
      <c r="B62" t="s">
        <v>213</v>
      </c>
    </row>
    <row r="63" spans="2:7" x14ac:dyDescent="0.25">
      <c r="B63" s="72"/>
      <c r="C63" s="72" t="s">
        <v>217</v>
      </c>
      <c r="D63" s="72" t="s">
        <v>218</v>
      </c>
      <c r="E63" s="72" t="s">
        <v>219</v>
      </c>
      <c r="F63" s="72" t="s">
        <v>220</v>
      </c>
      <c r="G63" s="72" t="s">
        <v>221</v>
      </c>
    </row>
    <row r="64" spans="2:7" x14ac:dyDescent="0.25">
      <c r="B64" s="22" t="s">
        <v>214</v>
      </c>
      <c r="C64" s="22">
        <v>2</v>
      </c>
      <c r="D64" s="22">
        <v>13.653301886792452</v>
      </c>
      <c r="E64" s="22">
        <v>6.8266509433962259</v>
      </c>
      <c r="F64" s="22">
        <v>5.3240343347639456</v>
      </c>
      <c r="G64" s="22">
        <v>0.10305642756652286</v>
      </c>
    </row>
    <row r="65" spans="2:10" x14ac:dyDescent="0.25">
      <c r="B65" s="22" t="s">
        <v>215</v>
      </c>
      <c r="C65" s="22">
        <v>3</v>
      </c>
      <c r="D65" s="22">
        <v>3.8466981132075491</v>
      </c>
      <c r="E65" s="22">
        <v>1.2822327044025164</v>
      </c>
      <c r="F65" s="22"/>
      <c r="G65" s="22"/>
    </row>
    <row r="66" spans="2:10" ht="15.75" thickBot="1" x14ac:dyDescent="0.3">
      <c r="B66" s="23" t="s">
        <v>49</v>
      </c>
      <c r="C66" s="23">
        <v>5</v>
      </c>
      <c r="D66" s="23">
        <v>17.5</v>
      </c>
      <c r="E66" s="23"/>
      <c r="F66" s="23"/>
      <c r="G66" s="23"/>
    </row>
    <row r="67" spans="2:10" ht="15.75" thickBot="1" x14ac:dyDescent="0.3"/>
    <row r="68" spans="2:10" x14ac:dyDescent="0.25">
      <c r="B68" s="72"/>
      <c r="C68" s="72" t="s">
        <v>222</v>
      </c>
      <c r="D68" s="72" t="s">
        <v>36</v>
      </c>
      <c r="E68" s="72" t="s">
        <v>223</v>
      </c>
      <c r="F68" s="72" t="s">
        <v>224</v>
      </c>
      <c r="G68" s="72" t="s">
        <v>225</v>
      </c>
      <c r="H68" s="72" t="s">
        <v>226</v>
      </c>
      <c r="I68" s="72" t="s">
        <v>227</v>
      </c>
      <c r="J68" s="72" t="s">
        <v>228</v>
      </c>
    </row>
    <row r="69" spans="2:10" x14ac:dyDescent="0.25">
      <c r="B69" s="22" t="s">
        <v>216</v>
      </c>
      <c r="C69" s="22">
        <v>-18.275943396226406</v>
      </c>
      <c r="D69" s="22">
        <v>15.48875415281937</v>
      </c>
      <c r="E69" s="22">
        <v>-1.1799492209578195</v>
      </c>
      <c r="F69" s="22">
        <v>0.32306453444714667</v>
      </c>
      <c r="G69" s="22">
        <v>-67.568071823314114</v>
      </c>
      <c r="H69" s="22">
        <v>31.016185030861305</v>
      </c>
      <c r="I69" s="22">
        <v>-67.568071823314114</v>
      </c>
      <c r="J69" s="22">
        <v>31.016185030861305</v>
      </c>
    </row>
    <row r="70" spans="2:10" x14ac:dyDescent="0.25">
      <c r="B70" s="22" t="s">
        <v>281</v>
      </c>
      <c r="C70" s="22">
        <v>0.72405660377358472</v>
      </c>
      <c r="D70" s="22">
        <v>0.35212140407639786</v>
      </c>
      <c r="E70" s="22">
        <v>2.0562697847714198</v>
      </c>
      <c r="F70" s="22">
        <v>0.13196727424621252</v>
      </c>
      <c r="G70" s="22">
        <v>-0.39655085764065956</v>
      </c>
      <c r="H70" s="22">
        <v>1.844664065187829</v>
      </c>
      <c r="I70" s="22">
        <v>-0.39655085764065956</v>
      </c>
      <c r="J70" s="22">
        <v>1.844664065187829</v>
      </c>
    </row>
    <row r="71" spans="2:10" ht="15.75" thickBot="1" x14ac:dyDescent="0.3">
      <c r="B71" s="23" t="s">
        <v>290</v>
      </c>
      <c r="C71" s="23">
        <v>0.90330188679245293</v>
      </c>
      <c r="D71" s="23">
        <v>0.4433606803629469</v>
      </c>
      <c r="E71" s="23">
        <v>2.0373973759986699</v>
      </c>
      <c r="F71" s="23">
        <v>0.13438288838836923</v>
      </c>
      <c r="G71" s="23">
        <v>-0.50766967233667892</v>
      </c>
      <c r="H71" s="23">
        <v>2.314273445921585</v>
      </c>
      <c r="I71" s="23">
        <v>-0.50766967233667892</v>
      </c>
      <c r="J71" s="23">
        <v>2.314273445921585</v>
      </c>
    </row>
    <row r="73" spans="2:10" x14ac:dyDescent="0.25">
      <c r="B73" t="s">
        <v>292</v>
      </c>
    </row>
    <row r="74" spans="2:10" x14ac:dyDescent="0.25">
      <c r="B74">
        <f>C69+(C70*50)+(C71*22)</f>
        <v>37.799528301886795</v>
      </c>
      <c r="D74" s="19"/>
    </row>
    <row r="76" spans="2:10" x14ac:dyDescent="0.25">
      <c r="B76" s="96" t="s">
        <v>297</v>
      </c>
    </row>
  </sheetData>
  <mergeCells count="2">
    <mergeCell ref="B5:H6"/>
    <mergeCell ref="B2:E3"/>
  </mergeCells>
  <phoneticPr fontId="5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A6F1C-710C-470E-8D3D-AF5C69B51532}">
  <dimension ref="B2:K104"/>
  <sheetViews>
    <sheetView zoomScale="98" zoomScaleNormal="85" workbookViewId="0">
      <selection activeCell="B2" sqref="B2:E3"/>
    </sheetView>
  </sheetViews>
  <sheetFormatPr baseColWidth="10" defaultRowHeight="15" x14ac:dyDescent="0.25"/>
  <cols>
    <col min="3" max="3" width="32.85546875" bestFit="1" customWidth="1"/>
  </cols>
  <sheetData>
    <row r="2" spans="2:5" x14ac:dyDescent="0.25">
      <c r="B2" s="186" t="s">
        <v>396</v>
      </c>
      <c r="C2" s="186"/>
      <c r="D2" s="186"/>
      <c r="E2" s="186"/>
    </row>
    <row r="3" spans="2:5" x14ac:dyDescent="0.25">
      <c r="B3" s="186"/>
      <c r="C3" s="186"/>
      <c r="D3" s="186"/>
      <c r="E3" s="186"/>
    </row>
    <row r="5" spans="2:5" x14ac:dyDescent="0.25">
      <c r="B5" s="97" t="s">
        <v>302</v>
      </c>
      <c r="C5" s="141" t="s">
        <v>303</v>
      </c>
      <c r="D5" s="97" t="s">
        <v>304</v>
      </c>
      <c r="E5" s="97" t="s">
        <v>298</v>
      </c>
    </row>
    <row r="6" spans="2:5" x14ac:dyDescent="0.25">
      <c r="B6" s="12">
        <v>9</v>
      </c>
      <c r="C6" s="12">
        <v>8.5</v>
      </c>
      <c r="D6" s="12">
        <v>10</v>
      </c>
      <c r="E6" s="12">
        <v>5</v>
      </c>
    </row>
    <row r="7" spans="2:5" x14ac:dyDescent="0.25">
      <c r="B7" s="12">
        <v>2</v>
      </c>
      <c r="C7" s="12">
        <v>5</v>
      </c>
      <c r="D7" s="12">
        <v>4</v>
      </c>
      <c r="E7" s="12">
        <v>0.2</v>
      </c>
    </row>
    <row r="8" spans="2:5" x14ac:dyDescent="0.25">
      <c r="B8" s="12">
        <v>5</v>
      </c>
      <c r="C8" s="12">
        <v>7</v>
      </c>
      <c r="D8" s="12">
        <v>7</v>
      </c>
      <c r="E8" s="12">
        <v>2</v>
      </c>
    </row>
    <row r="9" spans="2:5" x14ac:dyDescent="0.25">
      <c r="B9" s="12">
        <v>10</v>
      </c>
      <c r="C9" s="12">
        <v>10</v>
      </c>
      <c r="D9" s="12">
        <v>7</v>
      </c>
      <c r="E9" s="12">
        <v>5.5</v>
      </c>
    </row>
    <row r="10" spans="2:5" x14ac:dyDescent="0.25">
      <c r="B10" s="12">
        <v>6</v>
      </c>
      <c r="C10" s="12">
        <v>1</v>
      </c>
      <c r="D10" s="12">
        <v>3</v>
      </c>
      <c r="E10" s="12">
        <v>1.5</v>
      </c>
    </row>
    <row r="11" spans="2:5" x14ac:dyDescent="0.25">
      <c r="B11" s="12">
        <v>4</v>
      </c>
      <c r="C11" s="12">
        <v>3</v>
      </c>
      <c r="D11" s="12">
        <v>7</v>
      </c>
      <c r="E11" s="12">
        <v>1.5</v>
      </c>
    </row>
    <row r="12" spans="2:5" x14ac:dyDescent="0.25">
      <c r="B12" s="12">
        <v>7</v>
      </c>
      <c r="C12" s="12">
        <v>6</v>
      </c>
      <c r="D12" s="12">
        <v>8</v>
      </c>
      <c r="E12" s="12">
        <v>3</v>
      </c>
    </row>
    <row r="13" spans="2:5" x14ac:dyDescent="0.25">
      <c r="B13" s="12">
        <v>6</v>
      </c>
      <c r="C13" s="12">
        <v>8</v>
      </c>
      <c r="D13" s="12">
        <v>7</v>
      </c>
      <c r="E13" s="12">
        <v>2.5</v>
      </c>
    </row>
    <row r="15" spans="2:5" x14ac:dyDescent="0.25">
      <c r="B15" s="97" t="s">
        <v>110</v>
      </c>
    </row>
    <row r="31" spans="2:3" x14ac:dyDescent="0.25">
      <c r="B31" s="97" t="s">
        <v>142</v>
      </c>
      <c r="C31" t="s">
        <v>207</v>
      </c>
    </row>
    <row r="32" spans="2:3" ht="15.75" thickBot="1" x14ac:dyDescent="0.3"/>
    <row r="33" spans="3:11" x14ac:dyDescent="0.25">
      <c r="C33" s="24" t="s">
        <v>208</v>
      </c>
      <c r="D33" s="24"/>
    </row>
    <row r="34" spans="3:11" x14ac:dyDescent="0.25">
      <c r="C34" s="22" t="s">
        <v>209</v>
      </c>
      <c r="D34" s="22">
        <v>0.60064254896094427</v>
      </c>
      <c r="G34" s="185" t="s">
        <v>306</v>
      </c>
      <c r="H34" s="185"/>
      <c r="I34" s="185"/>
    </row>
    <row r="35" spans="3:11" ht="21" x14ac:dyDescent="0.35">
      <c r="C35" s="22" t="s">
        <v>210</v>
      </c>
      <c r="D35" s="22">
        <v>0.36077147162230039</v>
      </c>
      <c r="G35" s="98" t="s">
        <v>299</v>
      </c>
    </row>
    <row r="36" spans="3:11" x14ac:dyDescent="0.25">
      <c r="C36" s="22" t="s">
        <v>211</v>
      </c>
      <c r="D36" s="22">
        <v>0.25423338355935043</v>
      </c>
    </row>
    <row r="37" spans="3:11" x14ac:dyDescent="0.25">
      <c r="C37" s="22" t="s">
        <v>36</v>
      </c>
      <c r="D37" s="22">
        <v>2.2347198656544802</v>
      </c>
    </row>
    <row r="38" spans="3:11" ht="15.75" thickBot="1" x14ac:dyDescent="0.3">
      <c r="C38" s="23" t="s">
        <v>212</v>
      </c>
      <c r="D38" s="23">
        <v>8</v>
      </c>
    </row>
    <row r="40" spans="3:11" ht="15.75" thickBot="1" x14ac:dyDescent="0.3">
      <c r="C40" t="s">
        <v>213</v>
      </c>
    </row>
    <row r="41" spans="3:11" x14ac:dyDescent="0.25">
      <c r="C41" s="72"/>
      <c r="D41" s="72" t="s">
        <v>217</v>
      </c>
      <c r="E41" s="72" t="s">
        <v>218</v>
      </c>
      <c r="F41" s="72" t="s">
        <v>219</v>
      </c>
      <c r="G41" s="72" t="s">
        <v>220</v>
      </c>
      <c r="H41" s="72" t="s">
        <v>221</v>
      </c>
    </row>
    <row r="42" spans="3:11" x14ac:dyDescent="0.25">
      <c r="C42" s="22" t="s">
        <v>214</v>
      </c>
      <c r="D42" s="22">
        <v>1</v>
      </c>
      <c r="E42" s="22">
        <v>16.911162732295331</v>
      </c>
      <c r="F42" s="22">
        <v>16.911162732295331</v>
      </c>
      <c r="G42" s="22">
        <v>3.3863144926078657</v>
      </c>
      <c r="H42" s="22">
        <v>0.11534711690287484</v>
      </c>
    </row>
    <row r="43" spans="3:11" x14ac:dyDescent="0.25">
      <c r="C43" s="22" t="s">
        <v>215</v>
      </c>
      <c r="D43" s="22">
        <v>6</v>
      </c>
      <c r="E43" s="22">
        <v>29.963837267704669</v>
      </c>
      <c r="F43" s="22">
        <v>4.9939728779507782</v>
      </c>
      <c r="G43" s="22"/>
      <c r="H43" s="22"/>
    </row>
    <row r="44" spans="3:11" ht="15.75" thickBot="1" x14ac:dyDescent="0.3">
      <c r="C44" s="23" t="s">
        <v>49</v>
      </c>
      <c r="D44" s="23">
        <v>7</v>
      </c>
      <c r="E44" s="23">
        <v>46.875</v>
      </c>
      <c r="F44" s="23"/>
      <c r="G44" s="23"/>
      <c r="H44" s="23"/>
    </row>
    <row r="45" spans="3:11" ht="15.75" thickBot="1" x14ac:dyDescent="0.3"/>
    <row r="46" spans="3:11" x14ac:dyDescent="0.25">
      <c r="C46" s="72"/>
      <c r="D46" s="72" t="s">
        <v>222</v>
      </c>
      <c r="E46" s="72" t="s">
        <v>36</v>
      </c>
      <c r="F46" s="72" t="s">
        <v>223</v>
      </c>
      <c r="G46" s="72" t="s">
        <v>224</v>
      </c>
      <c r="H46" s="72" t="s">
        <v>225</v>
      </c>
      <c r="I46" s="72" t="s">
        <v>226</v>
      </c>
      <c r="J46" s="72" t="s">
        <v>227</v>
      </c>
      <c r="K46" s="72" t="s">
        <v>228</v>
      </c>
    </row>
    <row r="47" spans="3:11" x14ac:dyDescent="0.25">
      <c r="C47" s="22" t="s">
        <v>216</v>
      </c>
      <c r="D47" s="22">
        <v>2.964339527875441</v>
      </c>
      <c r="E47" s="22">
        <v>1.8905792711367495</v>
      </c>
      <c r="F47" s="22">
        <v>1.5679530465247675</v>
      </c>
      <c r="G47" s="22">
        <v>0.16793865111283671</v>
      </c>
      <c r="H47" s="22">
        <v>-1.6617412961980902</v>
      </c>
      <c r="I47" s="22">
        <v>7.5904203519489721</v>
      </c>
      <c r="J47" s="22">
        <v>-1.6617412961980902</v>
      </c>
      <c r="K47" s="22">
        <v>7.5904203519489721</v>
      </c>
    </row>
    <row r="48" spans="3:11" ht="15.75" thickBot="1" x14ac:dyDescent="0.3">
      <c r="C48" s="23" t="s">
        <v>281</v>
      </c>
      <c r="D48" s="23">
        <v>0.52134605725765926</v>
      </c>
      <c r="E48" s="23">
        <v>0.28331035536274241</v>
      </c>
      <c r="F48" s="23">
        <v>1.8401941453574573</v>
      </c>
      <c r="G48" s="23">
        <v>0.11534711690287501</v>
      </c>
      <c r="H48" s="23">
        <v>-0.17188940883152792</v>
      </c>
      <c r="I48" s="23">
        <v>1.2145815233468464</v>
      </c>
      <c r="J48" s="23">
        <v>-0.17188940883152792</v>
      </c>
      <c r="K48" s="23">
        <v>1.2145815233468464</v>
      </c>
    </row>
    <row r="51" spans="2:8" x14ac:dyDescent="0.25">
      <c r="B51" s="97" t="s">
        <v>169</v>
      </c>
      <c r="C51" t="s">
        <v>207</v>
      </c>
    </row>
    <row r="52" spans="2:8" ht="15.75" thickBot="1" x14ac:dyDescent="0.3">
      <c r="F52" s="185" t="s">
        <v>301</v>
      </c>
      <c r="G52" s="185"/>
      <c r="H52" s="185"/>
    </row>
    <row r="53" spans="2:8" ht="18.75" x14ac:dyDescent="0.3">
      <c r="C53" s="24" t="s">
        <v>208</v>
      </c>
      <c r="D53" s="24"/>
      <c r="F53" s="99" t="s">
        <v>305</v>
      </c>
    </row>
    <row r="54" spans="2:8" x14ac:dyDescent="0.25">
      <c r="C54" s="22" t="s">
        <v>209</v>
      </c>
      <c r="D54" s="22">
        <v>0.98990653930989414</v>
      </c>
    </row>
    <row r="55" spans="2:8" x14ac:dyDescent="0.25">
      <c r="C55" s="22" t="s">
        <v>210</v>
      </c>
      <c r="D55" s="22">
        <v>0.97991495656849092</v>
      </c>
    </row>
    <row r="56" spans="2:8" x14ac:dyDescent="0.25">
      <c r="C56" s="22" t="s">
        <v>211</v>
      </c>
      <c r="D56" s="22">
        <v>0.96485117399485909</v>
      </c>
    </row>
    <row r="57" spans="2:8" x14ac:dyDescent="0.25">
      <c r="C57" s="22" t="s">
        <v>36</v>
      </c>
      <c r="D57" s="22">
        <v>0.33880086070001986</v>
      </c>
    </row>
    <row r="58" spans="2:8" ht="15.75" thickBot="1" x14ac:dyDescent="0.3">
      <c r="C58" s="23" t="s">
        <v>212</v>
      </c>
      <c r="D58" s="23">
        <v>8</v>
      </c>
    </row>
    <row r="60" spans="2:8" ht="15.75" thickBot="1" x14ac:dyDescent="0.3">
      <c r="C60" t="s">
        <v>213</v>
      </c>
    </row>
    <row r="61" spans="2:8" x14ac:dyDescent="0.25">
      <c r="C61" s="72"/>
      <c r="D61" s="72" t="s">
        <v>217</v>
      </c>
      <c r="E61" s="72" t="s">
        <v>218</v>
      </c>
      <c r="F61" s="72" t="s">
        <v>219</v>
      </c>
      <c r="G61" s="72" t="s">
        <v>220</v>
      </c>
      <c r="H61" s="72" t="s">
        <v>221</v>
      </c>
    </row>
    <row r="62" spans="2:8" x14ac:dyDescent="0.25">
      <c r="C62" s="22" t="s">
        <v>214</v>
      </c>
      <c r="D62" s="22">
        <v>3</v>
      </c>
      <c r="E62" s="22">
        <v>22.400855907155698</v>
      </c>
      <c r="F62" s="22">
        <v>7.4669519690518991</v>
      </c>
      <c r="G62" s="22">
        <v>65.051055521988914</v>
      </c>
      <c r="H62" s="22">
        <v>7.5130853812153649E-4</v>
      </c>
    </row>
    <row r="63" spans="2:8" x14ac:dyDescent="0.25">
      <c r="C63" s="22" t="s">
        <v>215</v>
      </c>
      <c r="D63" s="22">
        <v>4</v>
      </c>
      <c r="E63" s="22">
        <v>0.45914409284429702</v>
      </c>
      <c r="F63" s="22">
        <v>0.11478602321107426</v>
      </c>
      <c r="G63" s="22"/>
      <c r="H63" s="22"/>
    </row>
    <row r="64" spans="2:8" ht="15.75" thickBot="1" x14ac:dyDescent="0.3">
      <c r="C64" s="23" t="s">
        <v>49</v>
      </c>
      <c r="D64" s="23">
        <v>7</v>
      </c>
      <c r="E64" s="23">
        <v>22.859999999999996</v>
      </c>
      <c r="F64" s="23"/>
      <c r="G64" s="23"/>
      <c r="H64" s="23"/>
    </row>
    <row r="65" spans="2:11" ht="15.75" thickBot="1" x14ac:dyDescent="0.3"/>
    <row r="66" spans="2:11" x14ac:dyDescent="0.25">
      <c r="C66" s="72"/>
      <c r="D66" s="72" t="s">
        <v>222</v>
      </c>
      <c r="E66" s="72" t="s">
        <v>36</v>
      </c>
      <c r="F66" s="72" t="s">
        <v>223</v>
      </c>
      <c r="G66" s="72" t="s">
        <v>224</v>
      </c>
      <c r="H66" s="72" t="s">
        <v>225</v>
      </c>
      <c r="I66" s="72" t="s">
        <v>226</v>
      </c>
      <c r="J66" s="72" t="s">
        <v>227</v>
      </c>
      <c r="K66" s="72" t="s">
        <v>228</v>
      </c>
    </row>
    <row r="67" spans="2:11" x14ac:dyDescent="0.25">
      <c r="C67" s="22" t="s">
        <v>216</v>
      </c>
      <c r="D67" s="22">
        <v>-2.0898543401430056</v>
      </c>
      <c r="E67" s="22">
        <v>0.41881979284175763</v>
      </c>
      <c r="F67" s="22">
        <v>-4.9898652734700475</v>
      </c>
      <c r="G67" s="22">
        <v>7.54437597168985E-3</v>
      </c>
      <c r="H67" s="22">
        <v>-3.2526845039384575</v>
      </c>
      <c r="I67" s="22">
        <v>-0.92702417634755374</v>
      </c>
      <c r="J67" s="22">
        <v>-3.2526845039384575</v>
      </c>
      <c r="K67" s="22">
        <v>-0.92702417634755374</v>
      </c>
    </row>
    <row r="68" spans="2:11" x14ac:dyDescent="0.25">
      <c r="C68" s="22" t="s">
        <v>281</v>
      </c>
      <c r="D68" s="22">
        <v>0.54241975689606092</v>
      </c>
      <c r="E68" s="22">
        <v>6.4263844677136264E-2</v>
      </c>
      <c r="F68" s="22">
        <v>8.4405120736425925</v>
      </c>
      <c r="G68" s="22">
        <v>1.0791721124555217E-3</v>
      </c>
      <c r="H68" s="22">
        <v>0.36399471990103466</v>
      </c>
      <c r="I68" s="22">
        <v>0.72084479389108713</v>
      </c>
      <c r="J68" s="22">
        <v>0.36399471990103466</v>
      </c>
      <c r="K68" s="22">
        <v>0.72084479389108713</v>
      </c>
    </row>
    <row r="69" spans="2:11" x14ac:dyDescent="0.25">
      <c r="C69" s="22" t="s">
        <v>290</v>
      </c>
      <c r="D69" s="22">
        <v>0.11173099454679597</v>
      </c>
      <c r="E69" s="22">
        <v>6.205742871692338E-2</v>
      </c>
      <c r="F69" s="22">
        <v>1.8004451176419167</v>
      </c>
      <c r="G69" s="22">
        <v>0.146162659640694</v>
      </c>
      <c r="H69" s="22">
        <v>-6.0568049655466916E-2</v>
      </c>
      <c r="I69" s="22">
        <v>0.28403003874905886</v>
      </c>
      <c r="J69" s="22">
        <v>-6.0568049655466916E-2</v>
      </c>
      <c r="K69" s="22">
        <v>0.28403003874905886</v>
      </c>
    </row>
    <row r="70" spans="2:11" ht="15.75" thickBot="1" x14ac:dyDescent="0.3">
      <c r="C70" s="23" t="s">
        <v>300</v>
      </c>
      <c r="D70" s="23">
        <v>0.11172289429655574</v>
      </c>
      <c r="E70" s="23">
        <v>8.1262171731419683E-2</v>
      </c>
      <c r="F70" s="23">
        <v>1.3748450467926461</v>
      </c>
      <c r="G70" s="23">
        <v>0.24116603043549859</v>
      </c>
      <c r="H70" s="23">
        <v>-0.11389706464488694</v>
      </c>
      <c r="I70" s="23">
        <v>0.3373428532379984</v>
      </c>
      <c r="J70" s="23">
        <v>-0.11389706464488694</v>
      </c>
      <c r="K70" s="23">
        <v>0.3373428532379984</v>
      </c>
    </row>
    <row r="72" spans="2:11" ht="18.75" x14ac:dyDescent="0.3">
      <c r="B72" s="97" t="s">
        <v>307</v>
      </c>
      <c r="C72" s="100">
        <f>CORREL(C6:C13,E6:E13)</f>
        <v>0.7417735466293558</v>
      </c>
    </row>
    <row r="73" spans="2:11" x14ac:dyDescent="0.25">
      <c r="C73" t="s">
        <v>312</v>
      </c>
    </row>
    <row r="75" spans="2:11" x14ac:dyDescent="0.25">
      <c r="B75" s="97" t="s">
        <v>308</v>
      </c>
      <c r="C75" s="97" t="s">
        <v>302</v>
      </c>
      <c r="D75" s="97" t="s">
        <v>303</v>
      </c>
      <c r="E75" s="97" t="s">
        <v>310</v>
      </c>
      <c r="F75" s="97" t="s">
        <v>309</v>
      </c>
    </row>
    <row r="76" spans="2:11" x14ac:dyDescent="0.25">
      <c r="C76" s="12">
        <v>9</v>
      </c>
      <c r="D76" s="12">
        <v>8.5</v>
      </c>
      <c r="E76" s="12">
        <v>5</v>
      </c>
      <c r="F76" s="12">
        <v>10</v>
      </c>
    </row>
    <row r="77" spans="2:11" x14ac:dyDescent="0.25">
      <c r="C77" s="12">
        <v>2</v>
      </c>
      <c r="D77" s="12">
        <v>5</v>
      </c>
      <c r="E77" s="12">
        <v>0.2</v>
      </c>
      <c r="F77" s="12">
        <v>4</v>
      </c>
    </row>
    <row r="78" spans="2:11" x14ac:dyDescent="0.25">
      <c r="C78" s="12">
        <v>5</v>
      </c>
      <c r="D78" s="12">
        <v>7</v>
      </c>
      <c r="E78" s="12">
        <v>2</v>
      </c>
      <c r="F78" s="12">
        <v>7</v>
      </c>
    </row>
    <row r="79" spans="2:11" x14ac:dyDescent="0.25">
      <c r="C79" s="12">
        <v>10</v>
      </c>
      <c r="D79" s="12">
        <v>10</v>
      </c>
      <c r="E79" s="12">
        <v>5.5</v>
      </c>
      <c r="F79" s="12">
        <v>7</v>
      </c>
    </row>
    <row r="80" spans="2:11" x14ac:dyDescent="0.25">
      <c r="C80" s="12">
        <v>6</v>
      </c>
      <c r="D80" s="12">
        <v>1</v>
      </c>
      <c r="E80" s="12">
        <v>1.5</v>
      </c>
      <c r="F80" s="12">
        <v>3</v>
      </c>
    </row>
    <row r="81" spans="3:8" x14ac:dyDescent="0.25">
      <c r="C81" s="12">
        <v>4</v>
      </c>
      <c r="D81" s="12">
        <v>3</v>
      </c>
      <c r="E81" s="12">
        <v>1.5</v>
      </c>
      <c r="F81" s="12">
        <v>7</v>
      </c>
    </row>
    <row r="82" spans="3:8" x14ac:dyDescent="0.25">
      <c r="C82" s="12">
        <v>7</v>
      </c>
      <c r="D82" s="12">
        <v>6</v>
      </c>
      <c r="E82" s="12">
        <v>3</v>
      </c>
      <c r="F82" s="12">
        <v>8</v>
      </c>
    </row>
    <row r="83" spans="3:8" x14ac:dyDescent="0.25">
      <c r="C83" s="12">
        <v>6</v>
      </c>
      <c r="D83" s="12">
        <v>8</v>
      </c>
      <c r="E83" s="12">
        <v>2.5</v>
      </c>
      <c r="F83" s="12">
        <v>7</v>
      </c>
    </row>
    <row r="85" spans="3:8" x14ac:dyDescent="0.25">
      <c r="C85" t="s">
        <v>207</v>
      </c>
    </row>
    <row r="86" spans="3:8" ht="15.75" thickBot="1" x14ac:dyDescent="0.3"/>
    <row r="87" spans="3:8" x14ac:dyDescent="0.25">
      <c r="C87" s="24" t="s">
        <v>208</v>
      </c>
      <c r="D87" s="24"/>
      <c r="G87" t="s">
        <v>313</v>
      </c>
    </row>
    <row r="88" spans="3:8" ht="18.75" x14ac:dyDescent="0.3">
      <c r="C88" s="22" t="s">
        <v>209</v>
      </c>
      <c r="D88" s="22">
        <v>0.80717532928861935</v>
      </c>
      <c r="G88" s="99" t="s">
        <v>311</v>
      </c>
    </row>
    <row r="89" spans="3:8" x14ac:dyDescent="0.25">
      <c r="C89" s="22" t="s">
        <v>210</v>
      </c>
      <c r="D89" s="22">
        <v>0.65153201221219115</v>
      </c>
    </row>
    <row r="90" spans="3:8" x14ac:dyDescent="0.25">
      <c r="C90" s="22" t="s">
        <v>211</v>
      </c>
      <c r="D90" s="22">
        <v>0.39018102137133459</v>
      </c>
    </row>
    <row r="91" spans="3:8" x14ac:dyDescent="0.25">
      <c r="C91" s="22" t="s">
        <v>36</v>
      </c>
      <c r="D91" s="22">
        <v>1.717873182623795</v>
      </c>
    </row>
    <row r="92" spans="3:8" ht="15.75" thickBot="1" x14ac:dyDescent="0.3">
      <c r="C92" s="23" t="s">
        <v>212</v>
      </c>
      <c r="D92" s="23">
        <v>8</v>
      </c>
    </row>
    <row r="94" spans="3:8" ht="15.75" thickBot="1" x14ac:dyDescent="0.3">
      <c r="C94" t="s">
        <v>213</v>
      </c>
    </row>
    <row r="95" spans="3:8" x14ac:dyDescent="0.25">
      <c r="C95" s="72"/>
      <c r="D95" s="72" t="s">
        <v>217</v>
      </c>
      <c r="E95" s="72" t="s">
        <v>218</v>
      </c>
      <c r="F95" s="72" t="s">
        <v>219</v>
      </c>
      <c r="G95" s="72" t="s">
        <v>220</v>
      </c>
      <c r="H95" s="72" t="s">
        <v>221</v>
      </c>
    </row>
    <row r="96" spans="3:8" x14ac:dyDescent="0.25">
      <c r="C96" s="22" t="s">
        <v>214</v>
      </c>
      <c r="D96" s="22">
        <v>3</v>
      </c>
      <c r="E96" s="22">
        <v>22.070646913687973</v>
      </c>
      <c r="F96" s="22">
        <v>7.3568823045626575</v>
      </c>
      <c r="G96" s="22">
        <v>2.4929387492122639</v>
      </c>
      <c r="H96" s="22">
        <v>0.19921016522374854</v>
      </c>
    </row>
    <row r="97" spans="3:11" x14ac:dyDescent="0.25">
      <c r="C97" s="22" t="s">
        <v>215</v>
      </c>
      <c r="D97" s="22">
        <v>4</v>
      </c>
      <c r="E97" s="22">
        <v>11.804353086312027</v>
      </c>
      <c r="F97" s="22">
        <v>2.9510882715780067</v>
      </c>
      <c r="G97" s="22"/>
      <c r="H97" s="22"/>
    </row>
    <row r="98" spans="3:11" ht="15.75" thickBot="1" x14ac:dyDescent="0.3">
      <c r="C98" s="23" t="s">
        <v>49</v>
      </c>
      <c r="D98" s="23">
        <v>7</v>
      </c>
      <c r="E98" s="23">
        <v>33.875</v>
      </c>
      <c r="F98" s="23"/>
      <c r="G98" s="23"/>
      <c r="H98" s="23"/>
    </row>
    <row r="99" spans="3:11" ht="15.75" thickBot="1" x14ac:dyDescent="0.3"/>
    <row r="100" spans="3:11" x14ac:dyDescent="0.25">
      <c r="C100" s="72"/>
      <c r="D100" s="72" t="s">
        <v>222</v>
      </c>
      <c r="E100" s="72" t="s">
        <v>36</v>
      </c>
      <c r="F100" s="72" t="s">
        <v>223</v>
      </c>
      <c r="G100" s="72" t="s">
        <v>224</v>
      </c>
      <c r="H100" s="72" t="s">
        <v>225</v>
      </c>
      <c r="I100" s="72" t="s">
        <v>226</v>
      </c>
      <c r="J100" s="72" t="s">
        <v>227</v>
      </c>
      <c r="K100" s="72" t="s">
        <v>228</v>
      </c>
    </row>
    <row r="101" spans="3:11" x14ac:dyDescent="0.25">
      <c r="C101" s="22" t="s">
        <v>216</v>
      </c>
      <c r="D101" s="22">
        <v>8.0428029686985472</v>
      </c>
      <c r="E101" s="22">
        <v>4.0508646559896526</v>
      </c>
      <c r="F101" s="22">
        <v>1.9854533912423786</v>
      </c>
      <c r="G101" s="22">
        <v>0.11806279062366419</v>
      </c>
      <c r="H101" s="22">
        <v>-3.2042003772426675</v>
      </c>
      <c r="I101" s="22">
        <v>19.289806314639762</v>
      </c>
      <c r="J101" s="22">
        <v>-3.2042003772426675</v>
      </c>
      <c r="K101" s="22">
        <v>19.289806314639762</v>
      </c>
    </row>
    <row r="102" spans="3:11" x14ac:dyDescent="0.25">
      <c r="C102" s="22" t="s">
        <v>281</v>
      </c>
      <c r="D102" s="22">
        <v>-1.4135035323704739</v>
      </c>
      <c r="E102" s="22">
        <v>1.2238190901775612</v>
      </c>
      <c r="F102" s="22">
        <v>-1.1549938579282921</v>
      </c>
      <c r="G102" s="22">
        <v>0.31239285140537987</v>
      </c>
      <c r="H102" s="22">
        <v>-4.8113700549415803</v>
      </c>
      <c r="I102" s="22">
        <v>1.984362990200633</v>
      </c>
      <c r="J102" s="22">
        <v>-4.8113700549415803</v>
      </c>
      <c r="K102" s="22">
        <v>1.984362990200633</v>
      </c>
    </row>
    <row r="103" spans="3:11" x14ac:dyDescent="0.25">
      <c r="C103" s="22" t="s">
        <v>290</v>
      </c>
      <c r="D103" s="22">
        <v>-6.1325600859986194E-2</v>
      </c>
      <c r="E103" s="22">
        <v>0.42226562322159722</v>
      </c>
      <c r="F103" s="22">
        <v>-0.1452299156917248</v>
      </c>
      <c r="G103" s="22">
        <v>0.89155354539435905</v>
      </c>
      <c r="H103" s="22">
        <v>-1.2337229235468856</v>
      </c>
      <c r="I103" s="22">
        <v>1.1110717218269131</v>
      </c>
      <c r="J103" s="22">
        <v>-1.2337229235468856</v>
      </c>
      <c r="K103" s="22">
        <v>1.1110717218269131</v>
      </c>
    </row>
    <row r="104" spans="3:11" ht="15.75" thickBot="1" x14ac:dyDescent="0.3">
      <c r="C104" s="23" t="s">
        <v>300</v>
      </c>
      <c r="D104" s="23">
        <v>2.8723368385978385</v>
      </c>
      <c r="E104" s="23">
        <v>2.0892076858396997</v>
      </c>
      <c r="F104" s="23">
        <v>1.3748450467926465</v>
      </c>
      <c r="G104" s="23">
        <v>0.2411660304354985</v>
      </c>
      <c r="H104" s="23">
        <v>-2.9282336144934056</v>
      </c>
      <c r="I104" s="23">
        <v>8.6729072916890821</v>
      </c>
      <c r="J104" s="23">
        <v>-2.9282336144934056</v>
      </c>
      <c r="K104" s="23">
        <v>8.6729072916890821</v>
      </c>
    </row>
  </sheetData>
  <mergeCells count="3">
    <mergeCell ref="F52:H52"/>
    <mergeCell ref="G34:I34"/>
    <mergeCell ref="B2:E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0B6FB-D229-4F06-B37A-CEE4E7F38AA2}">
  <dimension ref="B2:J130"/>
  <sheetViews>
    <sheetView zoomScale="103" workbookViewId="0">
      <selection activeCell="B5" sqref="B5:G6"/>
    </sheetView>
  </sheetViews>
  <sheetFormatPr baseColWidth="10" defaultRowHeight="14.25" x14ac:dyDescent="0.2"/>
  <cols>
    <col min="1" max="1" width="11.42578125" style="101"/>
    <col min="2" max="2" width="38.5703125" style="101" bestFit="1" customWidth="1"/>
    <col min="3" max="3" width="11.42578125" style="101"/>
    <col min="4" max="4" width="12.5703125" style="101" customWidth="1"/>
    <col min="5" max="5" width="17.140625" style="101" customWidth="1"/>
    <col min="6" max="6" width="20" style="101" bestFit="1" customWidth="1"/>
    <col min="7" max="7" width="12.7109375" style="101" customWidth="1"/>
    <col min="8" max="16384" width="11.42578125" style="101"/>
  </cols>
  <sheetData>
    <row r="2" spans="2:10" ht="14.25" customHeight="1" x14ac:dyDescent="0.2">
      <c r="B2" s="187" t="s">
        <v>397</v>
      </c>
      <c r="C2" s="187"/>
      <c r="D2" s="187"/>
      <c r="E2" s="187"/>
      <c r="F2" s="187"/>
    </row>
    <row r="3" spans="2:10" ht="14.25" customHeight="1" x14ac:dyDescent="0.2">
      <c r="B3" s="187"/>
      <c r="C3" s="187"/>
      <c r="D3" s="187"/>
      <c r="E3" s="187"/>
      <c r="F3" s="187"/>
    </row>
    <row r="5" spans="2:10" x14ac:dyDescent="0.2">
      <c r="B5" s="188" t="s">
        <v>317</v>
      </c>
      <c r="C5" s="188"/>
      <c r="D5" s="188"/>
      <c r="E5" s="188"/>
      <c r="F5" s="188"/>
      <c r="G5" s="188"/>
    </row>
    <row r="6" spans="2:10" x14ac:dyDescent="0.2">
      <c r="B6" s="188"/>
      <c r="C6" s="188"/>
      <c r="D6" s="188"/>
      <c r="E6" s="188"/>
      <c r="F6" s="188"/>
      <c r="G6" s="188"/>
    </row>
    <row r="8" spans="2:10" ht="15" x14ac:dyDescent="0.2">
      <c r="B8" s="103" t="s">
        <v>320</v>
      </c>
      <c r="C8" s="102">
        <v>2015</v>
      </c>
      <c r="D8" s="102">
        <v>2016</v>
      </c>
      <c r="E8" s="102">
        <v>2017</v>
      </c>
      <c r="F8" s="102">
        <v>2018</v>
      </c>
      <c r="G8" s="102">
        <v>2019</v>
      </c>
      <c r="I8" s="104" t="s">
        <v>10</v>
      </c>
      <c r="J8" s="105" t="s">
        <v>314</v>
      </c>
    </row>
    <row r="9" spans="2:10" x14ac:dyDescent="0.2">
      <c r="B9" s="103" t="s">
        <v>314</v>
      </c>
      <c r="C9" s="102">
        <v>12.1</v>
      </c>
      <c r="D9" s="102">
        <v>8.6999999999999993</v>
      </c>
      <c r="E9" s="102">
        <v>8.3000000000000007</v>
      </c>
      <c r="F9" s="102">
        <v>5.8</v>
      </c>
      <c r="G9" s="102">
        <v>6.1</v>
      </c>
      <c r="I9" s="102">
        <v>2015</v>
      </c>
      <c r="J9" s="102">
        <v>12.1</v>
      </c>
    </row>
    <row r="10" spans="2:10" x14ac:dyDescent="0.2">
      <c r="I10" s="102">
        <v>2016</v>
      </c>
      <c r="J10" s="102">
        <v>8.6999999999999993</v>
      </c>
    </row>
    <row r="11" spans="2:10" x14ac:dyDescent="0.2">
      <c r="B11" s="189" t="s">
        <v>315</v>
      </c>
      <c r="C11" s="190"/>
      <c r="D11" s="190"/>
      <c r="I11" s="102">
        <v>2017</v>
      </c>
      <c r="J11" s="102">
        <v>8.3000000000000007</v>
      </c>
    </row>
    <row r="12" spans="2:10" x14ac:dyDescent="0.2">
      <c r="I12" s="102">
        <v>2018</v>
      </c>
      <c r="J12" s="102">
        <v>5.8</v>
      </c>
    </row>
    <row r="13" spans="2:10" x14ac:dyDescent="0.2">
      <c r="I13" s="102">
        <v>2019</v>
      </c>
      <c r="J13" s="102">
        <v>6.1</v>
      </c>
    </row>
    <row r="27" spans="2:7" x14ac:dyDescent="0.2">
      <c r="B27" s="189" t="s">
        <v>316</v>
      </c>
      <c r="C27" s="190"/>
      <c r="D27" s="190"/>
    </row>
    <row r="29" spans="2:7" x14ac:dyDescent="0.2">
      <c r="B29" s="191" t="s">
        <v>342</v>
      </c>
      <c r="C29" s="191"/>
      <c r="D29" s="191"/>
      <c r="E29" s="191"/>
      <c r="F29" s="191"/>
      <c r="G29" s="191"/>
    </row>
    <row r="30" spans="2:7" x14ac:dyDescent="0.2">
      <c r="B30" s="191"/>
      <c r="C30" s="191"/>
      <c r="D30" s="191"/>
      <c r="E30" s="191"/>
      <c r="F30" s="191"/>
      <c r="G30" s="191"/>
    </row>
    <row r="32" spans="2:7" ht="15" customHeight="1" x14ac:dyDescent="0.2">
      <c r="B32" s="188" t="s">
        <v>318</v>
      </c>
      <c r="C32" s="188"/>
      <c r="D32" s="188"/>
      <c r="E32" s="188"/>
      <c r="F32" s="188"/>
      <c r="G32" s="188"/>
    </row>
    <row r="33" spans="2:10" ht="14.25" customHeight="1" x14ac:dyDescent="0.2">
      <c r="B33" s="188"/>
      <c r="C33" s="188"/>
      <c r="D33" s="188"/>
      <c r="E33" s="188"/>
      <c r="F33" s="188"/>
      <c r="G33" s="188"/>
    </row>
    <row r="35" spans="2:10" ht="15" x14ac:dyDescent="0.25">
      <c r="B35" t="s">
        <v>207</v>
      </c>
      <c r="C35"/>
      <c r="D35"/>
      <c r="E35"/>
      <c r="F35"/>
      <c r="G35"/>
      <c r="H35"/>
      <c r="I35"/>
      <c r="J35"/>
    </row>
    <row r="36" spans="2:10" ht="15.75" thickBot="1" x14ac:dyDescent="0.3">
      <c r="B36"/>
      <c r="C36"/>
      <c r="D36"/>
      <c r="E36" s="193" t="s">
        <v>306</v>
      </c>
      <c r="F36" s="193"/>
      <c r="G36" s="193"/>
      <c r="H36"/>
      <c r="I36"/>
      <c r="J36"/>
    </row>
    <row r="37" spans="2:10" ht="18.75" x14ac:dyDescent="0.3">
      <c r="B37" s="24" t="s">
        <v>208</v>
      </c>
      <c r="C37" s="24"/>
      <c r="D37"/>
      <c r="E37" s="194" t="s">
        <v>319</v>
      </c>
      <c r="F37" s="194"/>
      <c r="G37" s="194"/>
      <c r="H37"/>
      <c r="I37"/>
      <c r="J37"/>
    </row>
    <row r="38" spans="2:10" ht="15" x14ac:dyDescent="0.25">
      <c r="B38" s="22" t="s">
        <v>209</v>
      </c>
      <c r="C38" s="22">
        <v>0.930523312413718</v>
      </c>
      <c r="D38"/>
      <c r="E38"/>
      <c r="F38"/>
      <c r="G38"/>
      <c r="H38"/>
      <c r="I38"/>
      <c r="J38"/>
    </row>
    <row r="39" spans="2:10" ht="15" x14ac:dyDescent="0.25">
      <c r="B39" s="22" t="s">
        <v>210</v>
      </c>
      <c r="C39" s="22">
        <v>0.86587363494539782</v>
      </c>
      <c r="D39"/>
      <c r="E39"/>
      <c r="F39"/>
      <c r="G39"/>
      <c r="H39"/>
      <c r="I39"/>
      <c r="J39"/>
    </row>
    <row r="40" spans="2:10" ht="15" x14ac:dyDescent="0.25">
      <c r="B40" s="22" t="s">
        <v>211</v>
      </c>
      <c r="C40" s="22">
        <v>0.8211648465938638</v>
      </c>
      <c r="D40"/>
      <c r="E40"/>
      <c r="F40"/>
      <c r="G40"/>
      <c r="H40"/>
      <c r="I40"/>
      <c r="J40"/>
    </row>
    <row r="41" spans="2:10" ht="15" x14ac:dyDescent="0.25">
      <c r="B41" s="22" t="s">
        <v>36</v>
      </c>
      <c r="C41" s="22">
        <v>1.0706695724327528</v>
      </c>
      <c r="D41"/>
      <c r="E41"/>
      <c r="F41"/>
      <c r="G41"/>
      <c r="H41"/>
      <c r="I41"/>
      <c r="J41"/>
    </row>
    <row r="42" spans="2:10" ht="15.75" thickBot="1" x14ac:dyDescent="0.3">
      <c r="B42" s="23" t="s">
        <v>212</v>
      </c>
      <c r="C42" s="23">
        <v>5</v>
      </c>
      <c r="D42"/>
      <c r="E42"/>
      <c r="F42"/>
      <c r="G42"/>
      <c r="H42"/>
      <c r="I42"/>
      <c r="J42"/>
    </row>
    <row r="43" spans="2:10" ht="15" x14ac:dyDescent="0.25">
      <c r="B43"/>
      <c r="C43"/>
      <c r="D43"/>
      <c r="E43"/>
      <c r="F43"/>
      <c r="G43"/>
      <c r="H43"/>
      <c r="I43"/>
      <c r="J43"/>
    </row>
    <row r="44" spans="2:10" ht="15.75" thickBot="1" x14ac:dyDescent="0.3">
      <c r="B44" t="s">
        <v>213</v>
      </c>
      <c r="C44"/>
      <c r="D44"/>
      <c r="E44"/>
      <c r="F44"/>
      <c r="G44"/>
      <c r="H44"/>
      <c r="I44"/>
      <c r="J44"/>
    </row>
    <row r="45" spans="2:10" ht="15" x14ac:dyDescent="0.25">
      <c r="B45" s="72"/>
      <c r="C45" s="72" t="s">
        <v>217</v>
      </c>
      <c r="D45" s="72" t="s">
        <v>218</v>
      </c>
      <c r="E45" s="72" t="s">
        <v>219</v>
      </c>
      <c r="F45" s="72" t="s">
        <v>220</v>
      </c>
      <c r="G45" s="72" t="s">
        <v>221</v>
      </c>
      <c r="H45"/>
      <c r="I45"/>
      <c r="J45"/>
    </row>
    <row r="46" spans="2:10" ht="15" x14ac:dyDescent="0.25">
      <c r="B46" s="22" t="s">
        <v>214</v>
      </c>
      <c r="C46" s="22">
        <v>1</v>
      </c>
      <c r="D46" s="22">
        <v>22.201000000000001</v>
      </c>
      <c r="E46" s="22">
        <v>22.201000000000001</v>
      </c>
      <c r="F46" s="22">
        <v>19.366967141610925</v>
      </c>
      <c r="G46" s="22">
        <v>2.1752741607348001E-2</v>
      </c>
      <c r="H46"/>
      <c r="I46"/>
      <c r="J46"/>
    </row>
    <row r="47" spans="2:10" ht="15" x14ac:dyDescent="0.25">
      <c r="B47" s="22" t="s">
        <v>215</v>
      </c>
      <c r="C47" s="22">
        <v>3</v>
      </c>
      <c r="D47" s="22">
        <v>3.4390000000000018</v>
      </c>
      <c r="E47" s="22">
        <v>1.1463333333333339</v>
      </c>
      <c r="F47" s="22"/>
      <c r="G47" s="22"/>
      <c r="H47"/>
      <c r="I47"/>
      <c r="J47"/>
    </row>
    <row r="48" spans="2:10" ht="15.75" thickBot="1" x14ac:dyDescent="0.3">
      <c r="B48" s="23" t="s">
        <v>49</v>
      </c>
      <c r="C48" s="23">
        <v>4</v>
      </c>
      <c r="D48" s="23">
        <v>25.64</v>
      </c>
      <c r="E48" s="23"/>
      <c r="F48" s="23"/>
      <c r="G48" s="23"/>
      <c r="H48"/>
      <c r="I48"/>
      <c r="J48"/>
    </row>
    <row r="49" spans="2:10" ht="15.75" thickBot="1" x14ac:dyDescent="0.3">
      <c r="B49"/>
      <c r="C49"/>
      <c r="D49"/>
      <c r="E49"/>
      <c r="F49"/>
      <c r="G49"/>
      <c r="H49"/>
      <c r="I49"/>
      <c r="J49"/>
    </row>
    <row r="50" spans="2:10" ht="15" x14ac:dyDescent="0.25">
      <c r="B50" s="72"/>
      <c r="C50" s="72" t="s">
        <v>222</v>
      </c>
      <c r="D50" s="72" t="s">
        <v>36</v>
      </c>
      <c r="E50" s="72" t="s">
        <v>223</v>
      </c>
      <c r="F50" s="72" t="s">
        <v>224</v>
      </c>
      <c r="G50" s="72" t="s">
        <v>225</v>
      </c>
      <c r="H50" s="72" t="s">
        <v>226</v>
      </c>
      <c r="I50" s="72" t="s">
        <v>227</v>
      </c>
      <c r="J50" s="72" t="s">
        <v>228</v>
      </c>
    </row>
    <row r="51" spans="2:10" ht="15" x14ac:dyDescent="0.25">
      <c r="B51" s="22" t="s">
        <v>216</v>
      </c>
      <c r="C51" s="22">
        <v>3013.5299999999988</v>
      </c>
      <c r="D51" s="22">
        <v>682.90684452566472</v>
      </c>
      <c r="E51" s="22">
        <v>4.4127980619276768</v>
      </c>
      <c r="F51" s="22">
        <v>2.1594710653368064E-2</v>
      </c>
      <c r="G51" s="22">
        <v>840.21563578634095</v>
      </c>
      <c r="H51" s="22">
        <v>5186.8443642136572</v>
      </c>
      <c r="I51" s="22">
        <v>840.21563578634095</v>
      </c>
      <c r="J51" s="22">
        <v>5186.8443642136572</v>
      </c>
    </row>
    <row r="52" spans="2:10" ht="15.75" thickBot="1" x14ac:dyDescent="0.3">
      <c r="B52" s="23" t="s">
        <v>281</v>
      </c>
      <c r="C52" s="23">
        <v>-1.4899999999999995</v>
      </c>
      <c r="D52" s="23">
        <v>0.3385754470326125</v>
      </c>
      <c r="E52" s="23">
        <v>-4.400791649420694</v>
      </c>
      <c r="F52" s="23">
        <v>2.1752741607348018E-2</v>
      </c>
      <c r="G52" s="23">
        <v>-2.5674981804687174</v>
      </c>
      <c r="H52" s="23">
        <v>-0.41250181953128173</v>
      </c>
      <c r="I52" s="23">
        <v>-2.5674981804687174</v>
      </c>
      <c r="J52" s="23">
        <v>-0.41250181953128173</v>
      </c>
    </row>
    <row r="53" spans="2:10" ht="15" x14ac:dyDescent="0.25">
      <c r="B53"/>
      <c r="C53"/>
      <c r="D53"/>
      <c r="E53"/>
      <c r="F53"/>
      <c r="G53"/>
      <c r="H53"/>
      <c r="I53"/>
      <c r="J53"/>
    </row>
    <row r="54" spans="2:10" ht="15" customHeight="1" x14ac:dyDescent="0.25">
      <c r="B54" s="195" t="s">
        <v>321</v>
      </c>
      <c r="C54" s="196"/>
      <c r="D54"/>
      <c r="F54" s="65"/>
      <c r="G54" s="65"/>
      <c r="H54" s="65"/>
      <c r="I54" s="65"/>
      <c r="J54" s="65"/>
    </row>
    <row r="55" spans="2:10" ht="15" x14ac:dyDescent="0.25">
      <c r="B55" s="106" t="s">
        <v>322</v>
      </c>
      <c r="C55" s="106" t="s">
        <v>286</v>
      </c>
      <c r="D55"/>
      <c r="E55" s="168" t="s">
        <v>323</v>
      </c>
      <c r="F55" s="168"/>
      <c r="G55" s="168"/>
      <c r="H55" s="168"/>
      <c r="I55" s="168"/>
      <c r="J55" s="168"/>
    </row>
    <row r="56" spans="2:10" ht="15" x14ac:dyDescent="0.25">
      <c r="B56" s="12" t="s">
        <v>324</v>
      </c>
      <c r="C56" s="12">
        <v>2021</v>
      </c>
      <c r="E56" s="168"/>
      <c r="F56" s="168"/>
      <c r="G56" s="168"/>
      <c r="H56" s="168"/>
      <c r="I56" s="168"/>
      <c r="J56" s="168"/>
    </row>
    <row r="57" spans="2:10" x14ac:dyDescent="0.2">
      <c r="B57" s="197">
        <f>C51+(C52*2021)</f>
        <v>2.2399999999997817</v>
      </c>
      <c r="C57" s="198"/>
      <c r="E57" s="168"/>
      <c r="F57" s="168"/>
      <c r="G57" s="168"/>
      <c r="H57" s="168"/>
      <c r="I57" s="168"/>
      <c r="J57" s="168"/>
    </row>
    <row r="59" spans="2:10" ht="15" customHeight="1" x14ac:dyDescent="0.2">
      <c r="B59" s="192" t="s">
        <v>325</v>
      </c>
      <c r="C59" s="192"/>
      <c r="D59" s="192"/>
      <c r="E59" s="192"/>
      <c r="F59" s="192"/>
      <c r="G59" s="192"/>
    </row>
    <row r="60" spans="2:10" ht="14.25" customHeight="1" x14ac:dyDescent="0.2">
      <c r="B60" s="192"/>
      <c r="C60" s="192"/>
      <c r="D60" s="192"/>
      <c r="E60" s="192"/>
      <c r="F60" s="192"/>
      <c r="G60" s="192"/>
    </row>
    <row r="62" spans="2:10" x14ac:dyDescent="0.2">
      <c r="B62" s="101" t="s">
        <v>291</v>
      </c>
      <c r="C62" s="101">
        <f>CORREL(J9:J13,I9:I13)</f>
        <v>-0.93052331241371777</v>
      </c>
    </row>
    <row r="64" spans="2:10" ht="14.25" customHeight="1" x14ac:dyDescent="0.2">
      <c r="B64" s="191" t="s">
        <v>343</v>
      </c>
      <c r="C64" s="191"/>
      <c r="D64" s="191"/>
      <c r="E64" s="191"/>
      <c r="F64" s="191"/>
      <c r="G64" s="191"/>
    </row>
    <row r="65" spans="2:7" x14ac:dyDescent="0.2">
      <c r="B65" s="191"/>
      <c r="C65" s="191"/>
      <c r="D65" s="191"/>
      <c r="E65" s="191"/>
      <c r="F65" s="191"/>
      <c r="G65" s="191"/>
    </row>
    <row r="66" spans="2:7" x14ac:dyDescent="0.2">
      <c r="B66" s="191"/>
      <c r="C66" s="191"/>
      <c r="D66" s="191"/>
      <c r="E66" s="191"/>
      <c r="F66" s="191"/>
      <c r="G66" s="191"/>
    </row>
    <row r="68" spans="2:7" ht="15" customHeight="1" x14ac:dyDescent="0.2">
      <c r="B68" s="192" t="s">
        <v>326</v>
      </c>
      <c r="C68" s="192"/>
      <c r="D68" s="192"/>
      <c r="E68" s="192"/>
      <c r="F68" s="192"/>
      <c r="G68" s="192"/>
    </row>
    <row r="69" spans="2:7" ht="14.25" customHeight="1" x14ac:dyDescent="0.2">
      <c r="B69" s="192"/>
      <c r="C69" s="192"/>
      <c r="D69" s="192"/>
      <c r="E69" s="192"/>
      <c r="F69" s="192"/>
      <c r="G69" s="192"/>
    </row>
    <row r="71" spans="2:7" x14ac:dyDescent="0.2">
      <c r="B71" s="101" t="s">
        <v>327</v>
      </c>
      <c r="C71" s="101">
        <f>RSQ(J9:J13,I9:I13)</f>
        <v>0.8658736349453976</v>
      </c>
    </row>
    <row r="73" spans="2:7" x14ac:dyDescent="0.2">
      <c r="B73" s="191" t="s">
        <v>328</v>
      </c>
      <c r="C73" s="191"/>
      <c r="D73" s="191"/>
      <c r="E73" s="191"/>
      <c r="F73" s="191"/>
      <c r="G73" s="191"/>
    </row>
    <row r="74" spans="2:7" x14ac:dyDescent="0.2">
      <c r="B74" s="191"/>
      <c r="C74" s="191"/>
      <c r="D74" s="191"/>
      <c r="E74" s="191"/>
      <c r="F74" s="191"/>
      <c r="G74" s="191"/>
    </row>
    <row r="75" spans="2:7" x14ac:dyDescent="0.2">
      <c r="B75" s="107"/>
      <c r="C75" s="107"/>
      <c r="D75" s="107"/>
      <c r="E75" s="107"/>
      <c r="F75" s="107"/>
      <c r="G75" s="107"/>
    </row>
    <row r="76" spans="2:7" ht="5.25" customHeight="1" x14ac:dyDescent="0.2">
      <c r="B76" s="108"/>
      <c r="C76" s="108"/>
      <c r="D76" s="108"/>
      <c r="E76" s="108"/>
      <c r="F76" s="108"/>
      <c r="G76" s="108"/>
    </row>
    <row r="78" spans="2:7" x14ac:dyDescent="0.2">
      <c r="B78" s="188" t="s">
        <v>329</v>
      </c>
      <c r="C78" s="188"/>
      <c r="D78" s="188"/>
      <c r="E78" s="188"/>
      <c r="F78" s="188"/>
      <c r="G78" s="188"/>
    </row>
    <row r="79" spans="2:7" x14ac:dyDescent="0.2">
      <c r="B79" s="188"/>
      <c r="C79" s="188"/>
      <c r="D79" s="188"/>
      <c r="E79" s="188"/>
      <c r="F79" s="188"/>
      <c r="G79" s="188"/>
    </row>
    <row r="81" spans="2:7" ht="14.25" customHeight="1" x14ac:dyDescent="0.2">
      <c r="B81" s="109" t="s">
        <v>330</v>
      </c>
      <c r="C81" s="109" t="s">
        <v>331</v>
      </c>
      <c r="D81" s="109" t="s">
        <v>332</v>
      </c>
      <c r="E81" s="109" t="s">
        <v>333</v>
      </c>
      <c r="F81" s="109" t="s">
        <v>334</v>
      </c>
    </row>
    <row r="82" spans="2:7" x14ac:dyDescent="0.2">
      <c r="B82" s="102">
        <v>10.3</v>
      </c>
      <c r="C82" s="102">
        <v>1</v>
      </c>
      <c r="D82" s="102">
        <v>14</v>
      </c>
      <c r="E82" s="102">
        <v>31</v>
      </c>
      <c r="F82" s="102">
        <v>980</v>
      </c>
    </row>
    <row r="83" spans="2:7" x14ac:dyDescent="0.2">
      <c r="B83" s="102">
        <v>9.9</v>
      </c>
      <c r="C83" s="102">
        <v>2</v>
      </c>
      <c r="D83" s="102">
        <v>17</v>
      </c>
      <c r="E83" s="102">
        <v>42</v>
      </c>
      <c r="F83" s="102">
        <v>1010</v>
      </c>
    </row>
    <row r="84" spans="2:7" x14ac:dyDescent="0.2">
      <c r="B84" s="102">
        <v>9.4</v>
      </c>
      <c r="C84" s="102">
        <v>3</v>
      </c>
      <c r="D84" s="102">
        <v>21</v>
      </c>
      <c r="E84" s="102">
        <v>52</v>
      </c>
      <c r="F84" s="102">
        <v>1003</v>
      </c>
    </row>
    <row r="85" spans="2:7" x14ac:dyDescent="0.2">
      <c r="B85" s="102">
        <v>10.6</v>
      </c>
      <c r="C85" s="102">
        <v>4</v>
      </c>
      <c r="D85" s="102">
        <v>28</v>
      </c>
      <c r="E85" s="102">
        <v>63</v>
      </c>
      <c r="F85" s="102">
        <v>1020</v>
      </c>
    </row>
    <row r="86" spans="2:7" x14ac:dyDescent="0.2">
      <c r="B86" s="102">
        <v>10.1</v>
      </c>
      <c r="C86" s="102">
        <v>5</v>
      </c>
      <c r="D86" s="102">
        <v>33</v>
      </c>
      <c r="E86" s="102">
        <v>74</v>
      </c>
      <c r="F86" s="102">
        <v>990</v>
      </c>
    </row>
    <row r="87" spans="2:7" x14ac:dyDescent="0.2">
      <c r="B87" s="102">
        <v>14.3</v>
      </c>
      <c r="C87" s="102">
        <v>6</v>
      </c>
      <c r="D87" s="102">
        <v>35</v>
      </c>
      <c r="E87" s="102">
        <v>88</v>
      </c>
      <c r="F87" s="102">
        <v>1050</v>
      </c>
    </row>
    <row r="88" spans="2:7" x14ac:dyDescent="0.2">
      <c r="B88" s="102">
        <v>13.3</v>
      </c>
      <c r="C88" s="102">
        <v>7</v>
      </c>
      <c r="D88" s="102">
        <v>36</v>
      </c>
      <c r="E88" s="102">
        <v>84</v>
      </c>
      <c r="F88" s="102">
        <v>1070</v>
      </c>
    </row>
    <row r="89" spans="2:7" x14ac:dyDescent="0.2">
      <c r="B89" s="102">
        <v>8.1999999999999993</v>
      </c>
      <c r="C89" s="102">
        <v>8</v>
      </c>
      <c r="D89" s="102">
        <v>35</v>
      </c>
      <c r="E89" s="102">
        <v>86</v>
      </c>
      <c r="F89" s="102">
        <v>1025</v>
      </c>
    </row>
    <row r="90" spans="2:7" x14ac:dyDescent="0.2">
      <c r="B90" s="102">
        <v>8.8000000000000007</v>
      </c>
      <c r="C90" s="102">
        <v>9</v>
      </c>
      <c r="D90" s="102">
        <v>32</v>
      </c>
      <c r="E90" s="102">
        <v>90</v>
      </c>
      <c r="F90" s="102">
        <v>995</v>
      </c>
    </row>
    <row r="91" spans="2:7" x14ac:dyDescent="0.2">
      <c r="B91" s="102">
        <v>9.1</v>
      </c>
      <c r="C91" s="102">
        <v>10</v>
      </c>
      <c r="D91" s="102">
        <v>27</v>
      </c>
      <c r="E91" s="102">
        <v>81</v>
      </c>
      <c r="F91" s="102">
        <v>1005</v>
      </c>
    </row>
    <row r="92" spans="2:7" x14ac:dyDescent="0.2">
      <c r="B92" s="102">
        <v>10</v>
      </c>
      <c r="C92" s="102">
        <v>11</v>
      </c>
      <c r="D92" s="102">
        <v>23</v>
      </c>
      <c r="E92" s="102">
        <v>62</v>
      </c>
      <c r="F92" s="102">
        <v>1080</v>
      </c>
    </row>
    <row r="93" spans="2:7" x14ac:dyDescent="0.2">
      <c r="B93" s="102">
        <v>10.4</v>
      </c>
      <c r="C93" s="102">
        <v>12</v>
      </c>
      <c r="D93" s="102">
        <v>18</v>
      </c>
      <c r="E93" s="102">
        <v>42</v>
      </c>
      <c r="F93" s="102">
        <v>1056</v>
      </c>
    </row>
    <row r="94" spans="2:7" x14ac:dyDescent="0.2">
      <c r="B94" s="110" t="s">
        <v>202</v>
      </c>
      <c r="C94" s="110" t="s">
        <v>286</v>
      </c>
      <c r="D94" s="110" t="s">
        <v>287</v>
      </c>
      <c r="E94" s="110" t="s">
        <v>288</v>
      </c>
      <c r="F94" s="110" t="s">
        <v>339</v>
      </c>
    </row>
    <row r="96" spans="2:7" x14ac:dyDescent="0.2">
      <c r="B96" s="188" t="s">
        <v>336</v>
      </c>
      <c r="C96" s="188"/>
      <c r="D96" s="188"/>
      <c r="E96" s="188"/>
      <c r="F96" s="188"/>
      <c r="G96" s="188"/>
    </row>
    <row r="97" spans="2:10" x14ac:dyDescent="0.2">
      <c r="B97" s="188"/>
      <c r="C97" s="188"/>
      <c r="D97" s="188"/>
      <c r="E97" s="188"/>
      <c r="F97" s="188"/>
      <c r="G97" s="188"/>
    </row>
    <row r="99" spans="2:10" ht="15" x14ac:dyDescent="0.25">
      <c r="B99" t="s">
        <v>207</v>
      </c>
      <c r="C99"/>
      <c r="D99"/>
      <c r="E99"/>
      <c r="F99"/>
      <c r="G99"/>
      <c r="H99"/>
      <c r="I99"/>
      <c r="J99"/>
    </row>
    <row r="100" spans="2:10" ht="15.75" thickBot="1" x14ac:dyDescent="0.3">
      <c r="B100"/>
      <c r="C100"/>
      <c r="D100"/>
      <c r="E100"/>
      <c r="F100"/>
      <c r="G100"/>
      <c r="H100"/>
      <c r="I100"/>
      <c r="J100"/>
    </row>
    <row r="101" spans="2:10" ht="15" x14ac:dyDescent="0.25">
      <c r="B101" s="24" t="s">
        <v>208</v>
      </c>
      <c r="C101" s="24"/>
      <c r="D101"/>
      <c r="E101" s="193" t="s">
        <v>337</v>
      </c>
      <c r="F101" s="193"/>
      <c r="G101" s="193"/>
      <c r="H101"/>
      <c r="I101"/>
      <c r="J101"/>
    </row>
    <row r="102" spans="2:10" ht="15.75" x14ac:dyDescent="0.25">
      <c r="B102" s="22" t="s">
        <v>209</v>
      </c>
      <c r="C102" s="22">
        <v>0.75547622208715459</v>
      </c>
      <c r="D102"/>
      <c r="E102" s="199" t="s">
        <v>338</v>
      </c>
      <c r="F102" s="199"/>
      <c r="G102" s="199"/>
      <c r="H102"/>
      <c r="I102"/>
      <c r="J102"/>
    </row>
    <row r="103" spans="2:10" ht="15" x14ac:dyDescent="0.25">
      <c r="B103" s="22" t="s">
        <v>210</v>
      </c>
      <c r="C103" s="22">
        <v>0.57074432213907966</v>
      </c>
      <c r="D103"/>
      <c r="E103"/>
      <c r="F103"/>
      <c r="G103"/>
      <c r="H103"/>
      <c r="I103"/>
      <c r="J103"/>
    </row>
    <row r="104" spans="2:10" ht="15" x14ac:dyDescent="0.25">
      <c r="B104" s="22" t="s">
        <v>211</v>
      </c>
      <c r="C104" s="22">
        <v>0.3254553633614109</v>
      </c>
      <c r="D104"/>
      <c r="E104"/>
      <c r="F104"/>
      <c r="G104"/>
      <c r="H104"/>
      <c r="I104"/>
      <c r="J104"/>
    </row>
    <row r="105" spans="2:10" ht="15" x14ac:dyDescent="0.25">
      <c r="B105" s="22" t="s">
        <v>36</v>
      </c>
      <c r="C105" s="22">
        <v>1.4491660712520635</v>
      </c>
      <c r="D105"/>
      <c r="E105"/>
      <c r="F105"/>
      <c r="G105"/>
      <c r="H105"/>
      <c r="I105"/>
      <c r="J105"/>
    </row>
    <row r="106" spans="2:10" ht="15.75" thickBot="1" x14ac:dyDescent="0.3">
      <c r="B106" s="23" t="s">
        <v>212</v>
      </c>
      <c r="C106" s="23">
        <v>12</v>
      </c>
      <c r="D106"/>
      <c r="E106"/>
      <c r="F106"/>
      <c r="G106"/>
      <c r="H106"/>
      <c r="I106"/>
      <c r="J106"/>
    </row>
    <row r="107" spans="2:10" ht="15" x14ac:dyDescent="0.25">
      <c r="B107"/>
      <c r="C107"/>
      <c r="D107"/>
      <c r="E107"/>
      <c r="F107"/>
      <c r="G107"/>
      <c r="H107"/>
      <c r="I107"/>
      <c r="J107"/>
    </row>
    <row r="108" spans="2:10" ht="15.75" thickBot="1" x14ac:dyDescent="0.3">
      <c r="B108" t="s">
        <v>213</v>
      </c>
      <c r="C108"/>
      <c r="D108"/>
      <c r="E108"/>
      <c r="F108"/>
      <c r="G108"/>
      <c r="H108"/>
      <c r="I108"/>
      <c r="J108"/>
    </row>
    <row r="109" spans="2:10" ht="15" x14ac:dyDescent="0.25">
      <c r="B109" s="72"/>
      <c r="C109" s="72" t="s">
        <v>217</v>
      </c>
      <c r="D109" s="72" t="s">
        <v>218</v>
      </c>
      <c r="E109" s="72" t="s">
        <v>219</v>
      </c>
      <c r="F109" s="72" t="s">
        <v>220</v>
      </c>
      <c r="G109" s="72" t="s">
        <v>221</v>
      </c>
      <c r="H109"/>
      <c r="I109"/>
      <c r="J109"/>
    </row>
    <row r="110" spans="2:10" ht="15" x14ac:dyDescent="0.25">
      <c r="B110" s="22" t="s">
        <v>214</v>
      </c>
      <c r="C110" s="22">
        <v>4</v>
      </c>
      <c r="D110" s="22">
        <v>19.546090552189689</v>
      </c>
      <c r="E110" s="22">
        <v>4.8865226380474223</v>
      </c>
      <c r="F110" s="22">
        <v>2.3268243502815205</v>
      </c>
      <c r="G110" s="22">
        <v>0.15533903120814185</v>
      </c>
      <c r="H110"/>
      <c r="I110"/>
      <c r="J110"/>
    </row>
    <row r="111" spans="2:10" ht="15" x14ac:dyDescent="0.25">
      <c r="B111" s="22" t="s">
        <v>215</v>
      </c>
      <c r="C111" s="22">
        <v>7</v>
      </c>
      <c r="D111" s="22">
        <v>14.70057611447699</v>
      </c>
      <c r="E111" s="22">
        <v>2.1000823020681412</v>
      </c>
      <c r="F111" s="22"/>
      <c r="G111" s="22"/>
      <c r="H111"/>
      <c r="I111"/>
      <c r="J111"/>
    </row>
    <row r="112" spans="2:10" ht="15.75" thickBot="1" x14ac:dyDescent="0.3">
      <c r="B112" s="23" t="s">
        <v>49</v>
      </c>
      <c r="C112" s="23">
        <v>11</v>
      </c>
      <c r="D112" s="23">
        <v>34.246666666666677</v>
      </c>
      <c r="E112" s="23"/>
      <c r="F112" s="23"/>
      <c r="G112" s="23"/>
      <c r="H112"/>
      <c r="I112"/>
      <c r="J112"/>
    </row>
    <row r="113" spans="2:10" ht="15.75" thickBot="1" x14ac:dyDescent="0.3">
      <c r="B113"/>
      <c r="C113"/>
      <c r="D113"/>
      <c r="E113"/>
      <c r="F113"/>
      <c r="G113"/>
      <c r="H113"/>
      <c r="I113"/>
      <c r="J113"/>
    </row>
    <row r="114" spans="2:10" ht="15" x14ac:dyDescent="0.25">
      <c r="B114" s="72"/>
      <c r="C114" s="72" t="s">
        <v>222</v>
      </c>
      <c r="D114" s="72" t="s">
        <v>36</v>
      </c>
      <c r="E114" s="72" t="s">
        <v>223</v>
      </c>
      <c r="F114" s="72" t="s">
        <v>224</v>
      </c>
      <c r="G114" s="72" t="s">
        <v>225</v>
      </c>
      <c r="H114" s="72" t="s">
        <v>226</v>
      </c>
      <c r="I114" s="72" t="s">
        <v>227</v>
      </c>
      <c r="J114" s="72" t="s">
        <v>228</v>
      </c>
    </row>
    <row r="115" spans="2:10" ht="15" x14ac:dyDescent="0.25">
      <c r="B115" s="22" t="s">
        <v>216</v>
      </c>
      <c r="C115" s="22">
        <v>-34.609770087007334</v>
      </c>
      <c r="D115" s="22">
        <v>17.831939470431003</v>
      </c>
      <c r="E115" s="22">
        <v>-1.9408864719621441</v>
      </c>
      <c r="F115" s="22">
        <v>9.3412986927080374E-2</v>
      </c>
      <c r="G115" s="22">
        <v>-76.775606611723077</v>
      </c>
      <c r="H115" s="22">
        <v>7.5560664377084166</v>
      </c>
      <c r="I115" s="22">
        <v>-76.775606611723077</v>
      </c>
      <c r="J115" s="22">
        <v>7.5560664377084166</v>
      </c>
    </row>
    <row r="116" spans="2:10" ht="15" x14ac:dyDescent="0.25">
      <c r="B116" s="22" t="s">
        <v>281</v>
      </c>
      <c r="C116" s="22">
        <v>-0.32871231504014486</v>
      </c>
      <c r="D116" s="22">
        <v>0.1938475524681153</v>
      </c>
      <c r="E116" s="22">
        <v>-1.6957258982891341</v>
      </c>
      <c r="F116" s="22">
        <v>0.13375723819608429</v>
      </c>
      <c r="G116" s="22">
        <v>-0.78708893871815511</v>
      </c>
      <c r="H116" s="22">
        <v>0.12966430863786538</v>
      </c>
      <c r="I116" s="22">
        <v>-0.78708893871815511</v>
      </c>
      <c r="J116" s="22">
        <v>0.12966430863786538</v>
      </c>
    </row>
    <row r="117" spans="2:10" ht="15" x14ac:dyDescent="0.25">
      <c r="B117" s="22" t="s">
        <v>290</v>
      </c>
      <c r="C117" s="22">
        <v>5.1399637281773665E-2</v>
      </c>
      <c r="D117" s="22">
        <v>0.21284865341374884</v>
      </c>
      <c r="E117" s="22">
        <v>0.24148443721586418</v>
      </c>
      <c r="F117" s="22">
        <v>0.816100936534776</v>
      </c>
      <c r="G117" s="22">
        <v>-0.4519074504992443</v>
      </c>
      <c r="H117" s="22">
        <v>0.55470672506279162</v>
      </c>
      <c r="I117" s="22">
        <v>-0.4519074504992443</v>
      </c>
      <c r="J117" s="22">
        <v>0.55470672506279162</v>
      </c>
    </row>
    <row r="118" spans="2:10" ht="15" x14ac:dyDescent="0.25">
      <c r="B118" s="22" t="s">
        <v>300</v>
      </c>
      <c r="C118" s="22">
        <v>6.0641222549265312E-3</v>
      </c>
      <c r="D118" s="22">
        <v>8.514960126153083E-2</v>
      </c>
      <c r="E118" s="22">
        <v>7.1217271309363145E-2</v>
      </c>
      <c r="F118" s="22">
        <v>0.94521683710174864</v>
      </c>
      <c r="G118" s="22">
        <v>-0.19528268990154485</v>
      </c>
      <c r="H118" s="22">
        <v>0.20741093441139791</v>
      </c>
      <c r="I118" s="22">
        <v>-0.19528268990154485</v>
      </c>
      <c r="J118" s="22">
        <v>0.20741093441139791</v>
      </c>
    </row>
    <row r="119" spans="2:10" ht="15.75" thickBot="1" x14ac:dyDescent="0.3">
      <c r="B119" s="23" t="s">
        <v>335</v>
      </c>
      <c r="C119" s="23">
        <v>4.4296592325925345E-2</v>
      </c>
      <c r="D119" s="23">
        <v>1.8176146327581237E-2</v>
      </c>
      <c r="E119" s="23">
        <v>2.4370728276272655</v>
      </c>
      <c r="F119" s="23">
        <v>4.4951583899033164E-2</v>
      </c>
      <c r="G119" s="23">
        <v>1.3168359192276199E-3</v>
      </c>
      <c r="H119" s="23">
        <v>8.7276348732623077E-2</v>
      </c>
      <c r="I119" s="23">
        <v>1.3168359192276199E-3</v>
      </c>
      <c r="J119" s="23">
        <v>8.7276348732623077E-2</v>
      </c>
    </row>
    <row r="120" spans="2:10" ht="15" x14ac:dyDescent="0.25">
      <c r="B120"/>
      <c r="C120"/>
      <c r="D120"/>
      <c r="E120"/>
      <c r="F120"/>
      <c r="G120"/>
      <c r="H120"/>
      <c r="I120"/>
      <c r="J120"/>
    </row>
    <row r="121" spans="2:10" ht="15.75" customHeight="1" x14ac:dyDescent="0.25">
      <c r="B121" s="200" t="s">
        <v>341</v>
      </c>
      <c r="C121" s="200"/>
      <c r="D121" s="200"/>
      <c r="E121" s="200"/>
      <c r="F121" s="200"/>
      <c r="G121" s="200"/>
      <c r="H121"/>
      <c r="I121"/>
      <c r="J121"/>
    </row>
    <row r="122" spans="2:10" ht="15" x14ac:dyDescent="0.25">
      <c r="B122"/>
      <c r="C122"/>
      <c r="D122"/>
      <c r="E122"/>
      <c r="F122"/>
      <c r="G122"/>
      <c r="H122"/>
      <c r="I122"/>
      <c r="J122"/>
    </row>
    <row r="123" spans="2:10" x14ac:dyDescent="0.2">
      <c r="B123" s="191" t="s">
        <v>344</v>
      </c>
      <c r="C123" s="191"/>
      <c r="D123" s="191"/>
      <c r="E123" s="191"/>
      <c r="F123" s="191"/>
      <c r="G123" s="191"/>
    </row>
    <row r="124" spans="2:10" x14ac:dyDescent="0.2">
      <c r="B124" s="191"/>
      <c r="C124" s="191"/>
      <c r="D124" s="191"/>
      <c r="E124" s="191"/>
      <c r="F124" s="191"/>
      <c r="G124" s="191"/>
    </row>
    <row r="125" spans="2:10" x14ac:dyDescent="0.2">
      <c r="B125" s="191"/>
      <c r="C125" s="191"/>
      <c r="D125" s="191"/>
      <c r="E125" s="191"/>
      <c r="F125" s="191"/>
      <c r="G125" s="191"/>
    </row>
    <row r="127" spans="2:10" ht="15" x14ac:dyDescent="0.2">
      <c r="B127" s="200" t="s">
        <v>340</v>
      </c>
      <c r="C127" s="200"/>
      <c r="D127" s="200"/>
      <c r="E127" s="200"/>
      <c r="F127" s="200"/>
      <c r="G127" s="200"/>
    </row>
    <row r="129" spans="2:7" x14ac:dyDescent="0.2">
      <c r="B129" s="191" t="s">
        <v>345</v>
      </c>
      <c r="C129" s="191"/>
      <c r="D129" s="191"/>
      <c r="E129" s="191"/>
      <c r="F129" s="191"/>
      <c r="G129" s="191"/>
    </row>
    <row r="130" spans="2:7" x14ac:dyDescent="0.2">
      <c r="B130" s="191"/>
      <c r="C130" s="191"/>
      <c r="D130" s="191"/>
      <c r="E130" s="191"/>
      <c r="F130" s="191"/>
      <c r="G130" s="191"/>
    </row>
  </sheetData>
  <mergeCells count="23">
    <mergeCell ref="B129:G130"/>
    <mergeCell ref="B96:G97"/>
    <mergeCell ref="E101:G101"/>
    <mergeCell ref="E102:G102"/>
    <mergeCell ref="B127:G127"/>
    <mergeCell ref="B121:G121"/>
    <mergeCell ref="B123:G125"/>
    <mergeCell ref="B68:G69"/>
    <mergeCell ref="B29:G30"/>
    <mergeCell ref="B73:G74"/>
    <mergeCell ref="B78:G79"/>
    <mergeCell ref="B11:D11"/>
    <mergeCell ref="B2:F3"/>
    <mergeCell ref="B5:G6"/>
    <mergeCell ref="B27:D27"/>
    <mergeCell ref="B32:G33"/>
    <mergeCell ref="B64:G66"/>
    <mergeCell ref="B59:G60"/>
    <mergeCell ref="E36:G36"/>
    <mergeCell ref="E37:G37"/>
    <mergeCell ref="B54:C54"/>
    <mergeCell ref="B57:C57"/>
    <mergeCell ref="E55:J57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6BEC-F85B-4CA7-B484-B488DCC4BF66}">
  <dimension ref="B2:L122"/>
  <sheetViews>
    <sheetView workbookViewId="0">
      <selection activeCell="B2" sqref="B2:G3"/>
    </sheetView>
  </sheetViews>
  <sheetFormatPr baseColWidth="10" defaultRowHeight="15" x14ac:dyDescent="0.25"/>
  <cols>
    <col min="3" max="3" width="14.5703125" bestFit="1" customWidth="1"/>
    <col min="4" max="4" width="14.28515625" bestFit="1" customWidth="1"/>
    <col min="5" max="5" width="17" bestFit="1" customWidth="1"/>
  </cols>
  <sheetData>
    <row r="2" spans="2:7" x14ac:dyDescent="0.25">
      <c r="B2" s="201" t="s">
        <v>346</v>
      </c>
      <c r="C2" s="201"/>
      <c r="D2" s="201"/>
      <c r="E2" s="201"/>
      <c r="F2" s="201"/>
      <c r="G2" s="201"/>
    </row>
    <row r="3" spans="2:7" x14ac:dyDescent="0.25">
      <c r="B3" s="201"/>
      <c r="C3" s="201"/>
      <c r="D3" s="201"/>
      <c r="E3" s="201"/>
      <c r="F3" s="201"/>
      <c r="G3" s="201"/>
    </row>
    <row r="5" spans="2:7" ht="15.75" x14ac:dyDescent="0.25">
      <c r="B5" s="113" t="s">
        <v>347</v>
      </c>
      <c r="C5" s="113" t="s">
        <v>348</v>
      </c>
      <c r="D5" s="113" t="s">
        <v>349</v>
      </c>
      <c r="E5" s="113" t="s">
        <v>350</v>
      </c>
    </row>
    <row r="6" spans="2:7" x14ac:dyDescent="0.25">
      <c r="B6" s="12">
        <v>1</v>
      </c>
      <c r="C6" s="12">
        <v>17</v>
      </c>
      <c r="D6" s="12"/>
      <c r="E6" s="12"/>
    </row>
    <row r="7" spans="2:7" x14ac:dyDescent="0.25">
      <c r="B7" s="12">
        <v>2</v>
      </c>
      <c r="C7" s="12">
        <v>21</v>
      </c>
      <c r="D7" s="12"/>
      <c r="E7" s="12"/>
    </row>
    <row r="8" spans="2:7" x14ac:dyDescent="0.25">
      <c r="B8" s="12">
        <v>3</v>
      </c>
      <c r="C8" s="12">
        <v>19</v>
      </c>
      <c r="D8" s="12"/>
      <c r="E8" s="12"/>
    </row>
    <row r="9" spans="2:7" x14ac:dyDescent="0.25">
      <c r="B9" s="12">
        <v>4</v>
      </c>
      <c r="C9" s="12">
        <v>23</v>
      </c>
      <c r="D9" s="12">
        <f t="shared" ref="D9:D18" si="0">SUM(C6:C8)/$B$23</f>
        <v>19</v>
      </c>
      <c r="E9" s="12">
        <f>C9</f>
        <v>23</v>
      </c>
    </row>
    <row r="10" spans="2:7" x14ac:dyDescent="0.25">
      <c r="B10" s="12">
        <v>5</v>
      </c>
      <c r="C10" s="12">
        <v>18</v>
      </c>
      <c r="D10" s="12">
        <f t="shared" si="0"/>
        <v>21</v>
      </c>
      <c r="E10" s="12">
        <f>(C9-D9)^2</f>
        <v>16</v>
      </c>
    </row>
    <row r="11" spans="2:7" x14ac:dyDescent="0.25">
      <c r="B11" s="12">
        <v>6</v>
      </c>
      <c r="C11" s="12">
        <v>16</v>
      </c>
      <c r="D11" s="12">
        <f t="shared" si="0"/>
        <v>20</v>
      </c>
      <c r="E11" s="12">
        <f t="shared" ref="E11:E17" si="1">(C10-D10)^2</f>
        <v>9</v>
      </c>
    </row>
    <row r="12" spans="2:7" x14ac:dyDescent="0.25">
      <c r="B12" s="12">
        <v>7</v>
      </c>
      <c r="C12" s="12">
        <v>20</v>
      </c>
      <c r="D12" s="12">
        <f t="shared" si="0"/>
        <v>19</v>
      </c>
      <c r="E12" s="12">
        <f t="shared" si="1"/>
        <v>16</v>
      </c>
    </row>
    <row r="13" spans="2:7" x14ac:dyDescent="0.25">
      <c r="B13" s="12">
        <v>8</v>
      </c>
      <c r="C13" s="12">
        <v>18</v>
      </c>
      <c r="D13" s="12">
        <f t="shared" si="0"/>
        <v>18</v>
      </c>
      <c r="E13" s="12">
        <f t="shared" si="1"/>
        <v>1</v>
      </c>
    </row>
    <row r="14" spans="2:7" x14ac:dyDescent="0.25">
      <c r="B14" s="12">
        <v>9</v>
      </c>
      <c r="C14" s="12">
        <v>22</v>
      </c>
      <c r="D14" s="12">
        <f t="shared" si="0"/>
        <v>18</v>
      </c>
      <c r="E14" s="12">
        <f t="shared" si="1"/>
        <v>0</v>
      </c>
    </row>
    <row r="15" spans="2:7" x14ac:dyDescent="0.25">
      <c r="B15" s="12">
        <v>10</v>
      </c>
      <c r="C15" s="12">
        <v>20</v>
      </c>
      <c r="D15" s="12">
        <f t="shared" si="0"/>
        <v>20</v>
      </c>
      <c r="E15" s="12">
        <f t="shared" si="1"/>
        <v>16</v>
      </c>
    </row>
    <row r="16" spans="2:7" x14ac:dyDescent="0.25">
      <c r="B16" s="12">
        <v>11</v>
      </c>
      <c r="C16" s="12">
        <v>15</v>
      </c>
      <c r="D16" s="12">
        <f t="shared" si="0"/>
        <v>20</v>
      </c>
      <c r="E16" s="12">
        <f t="shared" si="1"/>
        <v>0</v>
      </c>
    </row>
    <row r="17" spans="2:7" x14ac:dyDescent="0.25">
      <c r="B17" s="12">
        <v>12</v>
      </c>
      <c r="C17" s="12">
        <v>22</v>
      </c>
      <c r="D17" s="12">
        <f t="shared" si="0"/>
        <v>19</v>
      </c>
      <c r="E17" s="12">
        <f t="shared" si="1"/>
        <v>25</v>
      </c>
    </row>
    <row r="18" spans="2:7" x14ac:dyDescent="0.25">
      <c r="B18" s="67">
        <v>13</v>
      </c>
      <c r="C18" s="12" t="s">
        <v>352</v>
      </c>
      <c r="D18" s="12">
        <f t="shared" si="0"/>
        <v>19</v>
      </c>
      <c r="E18" s="12">
        <f>(C17-D17)^2</f>
        <v>9</v>
      </c>
    </row>
    <row r="20" spans="2:7" x14ac:dyDescent="0.25">
      <c r="D20" s="116" t="s">
        <v>353</v>
      </c>
      <c r="E20" s="116">
        <f>SUM(E9:E18)/COUNT(E9:E18)</f>
        <v>11.5</v>
      </c>
    </row>
    <row r="22" spans="2:7" ht="63" x14ac:dyDescent="0.25">
      <c r="B22" s="115" t="s">
        <v>351</v>
      </c>
    </row>
    <row r="23" spans="2:7" x14ac:dyDescent="0.25">
      <c r="B23" s="12">
        <v>3</v>
      </c>
    </row>
    <row r="27" spans="2:7" x14ac:dyDescent="0.25">
      <c r="B27" s="201" t="s">
        <v>346</v>
      </c>
      <c r="C27" s="201"/>
      <c r="D27" s="201"/>
      <c r="E27" s="201"/>
      <c r="F27" s="201"/>
      <c r="G27" s="201"/>
    </row>
    <row r="28" spans="2:7" x14ac:dyDescent="0.25">
      <c r="B28" s="201"/>
      <c r="C28" s="201"/>
      <c r="D28" s="201"/>
      <c r="E28" s="201"/>
      <c r="F28" s="201"/>
      <c r="G28" s="201"/>
    </row>
    <row r="30" spans="2:7" ht="15.75" x14ac:dyDescent="0.25">
      <c r="B30" s="113" t="s">
        <v>347</v>
      </c>
      <c r="C30" s="113" t="s">
        <v>348</v>
      </c>
      <c r="D30" s="113" t="s">
        <v>349</v>
      </c>
      <c r="E30" s="113" t="s">
        <v>350</v>
      </c>
    </row>
    <row r="31" spans="2:7" x14ac:dyDescent="0.25">
      <c r="B31" s="12">
        <v>1</v>
      </c>
      <c r="C31" s="12">
        <v>17</v>
      </c>
      <c r="D31" s="12"/>
      <c r="E31" s="12"/>
    </row>
    <row r="32" spans="2:7" x14ac:dyDescent="0.25">
      <c r="B32" s="12">
        <v>2</v>
      </c>
      <c r="C32" s="12">
        <v>21</v>
      </c>
      <c r="D32" s="12"/>
      <c r="E32" s="12"/>
    </row>
    <row r="33" spans="2:12" x14ac:dyDescent="0.25">
      <c r="B33" s="12">
        <v>3</v>
      </c>
      <c r="C33" s="12">
        <v>19</v>
      </c>
      <c r="D33" s="12"/>
      <c r="E33" s="12"/>
    </row>
    <row r="34" spans="2:12" x14ac:dyDescent="0.25">
      <c r="B34" s="12">
        <v>4</v>
      </c>
      <c r="C34" s="12">
        <v>23</v>
      </c>
      <c r="D34" s="12"/>
      <c r="E34" s="12"/>
    </row>
    <row r="35" spans="2:12" x14ac:dyDescent="0.25">
      <c r="B35" s="12">
        <v>5</v>
      </c>
      <c r="C35" s="12">
        <v>18</v>
      </c>
      <c r="D35" s="12">
        <f>SUM(C31:C34)/$B$50</f>
        <v>20</v>
      </c>
      <c r="E35" s="12">
        <f>(C35)</f>
        <v>18</v>
      </c>
    </row>
    <row r="36" spans="2:12" x14ac:dyDescent="0.25">
      <c r="B36" s="12">
        <v>6</v>
      </c>
      <c r="C36" s="12">
        <v>16</v>
      </c>
      <c r="D36" s="12">
        <f t="shared" ref="D36:D43" si="2">SUM(C32:C35)/$B$50</f>
        <v>20.25</v>
      </c>
      <c r="E36" s="12">
        <f>(C35-D35)^2</f>
        <v>4</v>
      </c>
    </row>
    <row r="37" spans="2:12" x14ac:dyDescent="0.25">
      <c r="B37" s="12">
        <v>7</v>
      </c>
      <c r="C37" s="12">
        <v>20</v>
      </c>
      <c r="D37" s="12">
        <f t="shared" si="2"/>
        <v>19</v>
      </c>
      <c r="E37" s="12">
        <f t="shared" ref="E37:E42" si="3">(C36-D36)^2</f>
        <v>18.0625</v>
      </c>
    </row>
    <row r="38" spans="2:12" x14ac:dyDescent="0.25">
      <c r="B38" s="12">
        <v>8</v>
      </c>
      <c r="C38" s="12">
        <v>18</v>
      </c>
      <c r="D38" s="12">
        <f t="shared" si="2"/>
        <v>19.25</v>
      </c>
      <c r="E38" s="12">
        <f t="shared" si="3"/>
        <v>1</v>
      </c>
    </row>
    <row r="39" spans="2:12" x14ac:dyDescent="0.25">
      <c r="B39" s="12">
        <v>9</v>
      </c>
      <c r="C39" s="12">
        <v>22</v>
      </c>
      <c r="D39" s="12">
        <f t="shared" si="2"/>
        <v>18</v>
      </c>
      <c r="E39" s="12">
        <f t="shared" si="3"/>
        <v>1.5625</v>
      </c>
    </row>
    <row r="40" spans="2:12" x14ac:dyDescent="0.25">
      <c r="B40" s="12">
        <v>10</v>
      </c>
      <c r="C40" s="12">
        <v>20</v>
      </c>
      <c r="D40" s="12">
        <f t="shared" si="2"/>
        <v>19</v>
      </c>
      <c r="E40" s="12">
        <f t="shared" si="3"/>
        <v>16</v>
      </c>
    </row>
    <row r="41" spans="2:12" x14ac:dyDescent="0.25">
      <c r="B41" s="12">
        <v>11</v>
      </c>
      <c r="C41" s="12">
        <v>15</v>
      </c>
      <c r="D41" s="12">
        <f t="shared" si="2"/>
        <v>20</v>
      </c>
      <c r="E41" s="12">
        <f t="shared" si="3"/>
        <v>1</v>
      </c>
    </row>
    <row r="42" spans="2:12" x14ac:dyDescent="0.25">
      <c r="B42" s="12">
        <v>12</v>
      </c>
      <c r="C42" s="12">
        <v>22</v>
      </c>
      <c r="D42" s="12">
        <f t="shared" si="2"/>
        <v>18.75</v>
      </c>
      <c r="E42" s="12">
        <f t="shared" si="3"/>
        <v>25</v>
      </c>
    </row>
    <row r="43" spans="2:12" x14ac:dyDescent="0.25">
      <c r="B43" s="67">
        <v>13</v>
      </c>
      <c r="C43" s="12" t="s">
        <v>352</v>
      </c>
      <c r="D43" s="12">
        <f t="shared" si="2"/>
        <v>19.75</v>
      </c>
      <c r="E43" s="12">
        <f>(C42-D42)^2</f>
        <v>10.5625</v>
      </c>
    </row>
    <row r="45" spans="2:12" x14ac:dyDescent="0.25">
      <c r="D45" s="116" t="s">
        <v>353</v>
      </c>
      <c r="E45" s="116">
        <f>AVERAGE(E35:E43)</f>
        <v>10.576388888888889</v>
      </c>
      <c r="G45" s="168" t="s">
        <v>354</v>
      </c>
      <c r="H45" s="168"/>
      <c r="I45" s="168"/>
      <c r="J45" s="168"/>
      <c r="K45" s="168"/>
      <c r="L45" s="168"/>
    </row>
    <row r="46" spans="2:12" x14ac:dyDescent="0.25">
      <c r="G46" s="168"/>
      <c r="H46" s="168"/>
      <c r="I46" s="168"/>
      <c r="J46" s="168"/>
      <c r="K46" s="168"/>
      <c r="L46" s="168"/>
    </row>
    <row r="49" spans="2:8" ht="63" x14ac:dyDescent="0.25">
      <c r="B49" s="115" t="s">
        <v>351</v>
      </c>
      <c r="C49" s="65"/>
      <c r="D49" s="65"/>
    </row>
    <row r="50" spans="2:8" x14ac:dyDescent="0.25">
      <c r="B50" s="12">
        <v>4</v>
      </c>
    </row>
    <row r="56" spans="2:8" ht="15.75" x14ac:dyDescent="0.25">
      <c r="B56" s="113" t="s">
        <v>355</v>
      </c>
      <c r="C56" s="113" t="s">
        <v>356</v>
      </c>
      <c r="D56" s="113" t="s">
        <v>349</v>
      </c>
      <c r="E56" s="113" t="s">
        <v>350</v>
      </c>
    </row>
    <row r="57" spans="2:8" x14ac:dyDescent="0.25">
      <c r="B57" s="117">
        <v>43647</v>
      </c>
      <c r="C57" s="12">
        <v>273.27999999999997</v>
      </c>
      <c r="D57" s="12"/>
      <c r="E57" s="12"/>
    </row>
    <row r="58" spans="2:8" x14ac:dyDescent="0.25">
      <c r="B58" s="117">
        <v>43678</v>
      </c>
      <c r="C58" s="12">
        <v>286.18</v>
      </c>
      <c r="D58" s="12"/>
      <c r="E58" s="12"/>
    </row>
    <row r="59" spans="2:8" x14ac:dyDescent="0.25">
      <c r="B59" s="117">
        <v>43709</v>
      </c>
      <c r="C59" s="12">
        <v>307.85000000000002</v>
      </c>
      <c r="D59" s="12"/>
      <c r="E59" s="12"/>
    </row>
    <row r="60" spans="2:8" x14ac:dyDescent="0.25">
      <c r="B60" s="117">
        <v>43739</v>
      </c>
      <c r="C60" s="12">
        <v>322.37</v>
      </c>
      <c r="D60" s="12"/>
      <c r="E60" s="12"/>
      <c r="G60" s="112" t="s">
        <v>160</v>
      </c>
      <c r="H60" s="12">
        <v>10</v>
      </c>
    </row>
    <row r="61" spans="2:8" x14ac:dyDescent="0.25">
      <c r="B61" s="117">
        <v>43770</v>
      </c>
      <c r="C61" s="12">
        <v>372.1</v>
      </c>
      <c r="D61" s="12"/>
      <c r="E61" s="12"/>
      <c r="G61" s="112" t="s">
        <v>357</v>
      </c>
      <c r="H61" s="12">
        <f>AVERAGE(E67:E68)</f>
        <v>653.94200049999927</v>
      </c>
    </row>
    <row r="62" spans="2:8" x14ac:dyDescent="0.25">
      <c r="B62" s="117">
        <v>43800</v>
      </c>
      <c r="C62" s="12">
        <v>361.67</v>
      </c>
      <c r="D62" s="12"/>
      <c r="E62" s="12"/>
    </row>
    <row r="63" spans="2:8" x14ac:dyDescent="0.25">
      <c r="B63" s="117">
        <v>43831</v>
      </c>
      <c r="C63" s="12">
        <v>371.97</v>
      </c>
      <c r="D63" s="12"/>
      <c r="E63" s="12"/>
    </row>
    <row r="64" spans="2:8" x14ac:dyDescent="0.25">
      <c r="B64" s="117">
        <v>43862</v>
      </c>
      <c r="C64" s="12">
        <v>333.55</v>
      </c>
      <c r="D64" s="12"/>
      <c r="E64" s="12"/>
    </row>
    <row r="65" spans="2:5" x14ac:dyDescent="0.25">
      <c r="B65" s="117">
        <v>43891</v>
      </c>
      <c r="C65" s="12">
        <v>349.12</v>
      </c>
      <c r="D65" s="12"/>
      <c r="E65" s="12"/>
    </row>
    <row r="66" spans="2:5" x14ac:dyDescent="0.25">
      <c r="B66" s="117">
        <v>43922</v>
      </c>
      <c r="C66" s="12">
        <v>337</v>
      </c>
      <c r="D66" s="12"/>
      <c r="E66" s="12"/>
    </row>
    <row r="67" spans="2:5" x14ac:dyDescent="0.25">
      <c r="B67" s="117">
        <v>43952</v>
      </c>
      <c r="C67" s="12">
        <v>362.26</v>
      </c>
      <c r="D67" s="12">
        <f>SUM(C57:C66)/$H$60</f>
        <v>331.50900000000001</v>
      </c>
      <c r="E67" s="12">
        <f>C67</f>
        <v>362.26</v>
      </c>
    </row>
    <row r="68" spans="2:5" x14ac:dyDescent="0.25">
      <c r="B68" s="117">
        <v>43983</v>
      </c>
      <c r="C68" s="12">
        <v>365.08</v>
      </c>
      <c r="D68" s="12">
        <f>SUM(C58:C67)/$H$60</f>
        <v>340.40699999999998</v>
      </c>
      <c r="E68" s="12">
        <f>(C67-D67)^2</f>
        <v>945.62400099999854</v>
      </c>
    </row>
    <row r="69" spans="2:5" x14ac:dyDescent="0.25">
      <c r="B69" s="118">
        <v>44013</v>
      </c>
      <c r="C69" s="114"/>
      <c r="D69" s="114">
        <f>SUM(C59:C68)/$H$60</f>
        <v>348.29700000000003</v>
      </c>
      <c r="E69" s="114">
        <f>(C68-D68)^2</f>
        <v>608.75692900000013</v>
      </c>
    </row>
    <row r="83" spans="2:10" ht="15.75" x14ac:dyDescent="0.25">
      <c r="B83" s="113" t="s">
        <v>10</v>
      </c>
      <c r="C83" s="113" t="s">
        <v>358</v>
      </c>
      <c r="D83" s="113" t="s">
        <v>349</v>
      </c>
      <c r="E83" s="113" t="s">
        <v>350</v>
      </c>
      <c r="G83" s="113" t="s">
        <v>10</v>
      </c>
      <c r="H83" s="113" t="s">
        <v>358</v>
      </c>
      <c r="I83" s="113" t="s">
        <v>349</v>
      </c>
      <c r="J83" s="113" t="s">
        <v>350</v>
      </c>
    </row>
    <row r="84" spans="2:10" x14ac:dyDescent="0.25">
      <c r="B84" s="12">
        <v>1</v>
      </c>
      <c r="C84" s="12">
        <v>4</v>
      </c>
      <c r="D84" s="12"/>
      <c r="E84" s="12"/>
      <c r="G84" s="12">
        <v>1</v>
      </c>
      <c r="H84" s="12">
        <v>1</v>
      </c>
      <c r="I84" s="12"/>
      <c r="J84" s="12"/>
    </row>
    <row r="85" spans="2:10" x14ac:dyDescent="0.25">
      <c r="B85" s="12">
        <v>2</v>
      </c>
      <c r="C85" s="12">
        <v>6</v>
      </c>
      <c r="D85" s="12"/>
      <c r="E85" s="12"/>
      <c r="G85" s="12">
        <v>2</v>
      </c>
      <c r="H85" s="12">
        <v>1</v>
      </c>
      <c r="I85" s="12"/>
      <c r="J85" s="12"/>
    </row>
    <row r="86" spans="2:10" x14ac:dyDescent="0.25">
      <c r="B86" s="12">
        <v>3</v>
      </c>
      <c r="C86" s="12">
        <v>4</v>
      </c>
      <c r="D86" s="12"/>
      <c r="E86" s="12"/>
      <c r="G86" s="12">
        <v>3</v>
      </c>
      <c r="H86" s="12">
        <v>2</v>
      </c>
      <c r="I86" s="12"/>
      <c r="J86" s="12"/>
    </row>
    <row r="87" spans="2:10" x14ac:dyDescent="0.25">
      <c r="B87" s="12">
        <v>4</v>
      </c>
      <c r="C87" s="12">
        <v>5</v>
      </c>
      <c r="D87" s="12">
        <f t="shared" ref="D87:D95" si="4">SUM(C84:C86)/$C$99</f>
        <v>4.666666666666667</v>
      </c>
      <c r="E87" s="12">
        <f>C87</f>
        <v>5</v>
      </c>
      <c r="G87" s="12">
        <v>4</v>
      </c>
      <c r="H87" s="12">
        <v>5</v>
      </c>
      <c r="I87" s="12">
        <f t="shared" ref="I87:I95" si="5">SUM(H84:H86)/$C$99</f>
        <v>1.3333333333333333</v>
      </c>
      <c r="J87" s="12">
        <f>H87</f>
        <v>5</v>
      </c>
    </row>
    <row r="88" spans="2:10" x14ac:dyDescent="0.25">
      <c r="B88" s="12">
        <v>5</v>
      </c>
      <c r="C88" s="12">
        <v>10</v>
      </c>
      <c r="D88" s="12">
        <f t="shared" si="4"/>
        <v>5</v>
      </c>
      <c r="E88" s="12">
        <f>(C87-D87)^2</f>
        <v>0.11111111111111091</v>
      </c>
      <c r="G88" s="12">
        <v>5</v>
      </c>
      <c r="H88" s="12">
        <v>10</v>
      </c>
      <c r="I88" s="12">
        <f t="shared" si="5"/>
        <v>2.6666666666666665</v>
      </c>
      <c r="J88" s="12">
        <f>(H87-I87)^2</f>
        <v>13.444444444444446</v>
      </c>
    </row>
    <row r="89" spans="2:10" x14ac:dyDescent="0.25">
      <c r="B89" s="12">
        <v>6</v>
      </c>
      <c r="C89" s="12">
        <v>8</v>
      </c>
      <c r="D89" s="12">
        <f t="shared" si="4"/>
        <v>6.333333333333333</v>
      </c>
      <c r="E89" s="12">
        <f t="shared" ref="E89:E94" si="6">(C88-D88)^2</f>
        <v>25</v>
      </c>
      <c r="G89" s="12">
        <v>6</v>
      </c>
      <c r="H89" s="12">
        <v>8</v>
      </c>
      <c r="I89" s="12">
        <f t="shared" si="5"/>
        <v>5.666666666666667</v>
      </c>
      <c r="J89" s="12">
        <f t="shared" ref="J89:J95" si="7">(H88-I88)^2</f>
        <v>53.777777777777786</v>
      </c>
    </row>
    <row r="90" spans="2:10" x14ac:dyDescent="0.25">
      <c r="B90" s="12">
        <v>7</v>
      </c>
      <c r="C90" s="12">
        <v>7</v>
      </c>
      <c r="D90" s="12">
        <f t="shared" si="4"/>
        <v>7.666666666666667</v>
      </c>
      <c r="E90" s="12">
        <f t="shared" si="6"/>
        <v>2.7777777777777786</v>
      </c>
      <c r="G90" s="12">
        <v>7</v>
      </c>
      <c r="H90" s="12">
        <v>7</v>
      </c>
      <c r="I90" s="12">
        <f t="shared" si="5"/>
        <v>7.666666666666667</v>
      </c>
      <c r="J90" s="12">
        <f t="shared" si="7"/>
        <v>5.4444444444444429</v>
      </c>
    </row>
    <row r="91" spans="2:10" x14ac:dyDescent="0.25">
      <c r="B91" s="12">
        <v>8</v>
      </c>
      <c r="C91" s="12">
        <v>9</v>
      </c>
      <c r="D91" s="12">
        <f t="shared" si="4"/>
        <v>8.3333333333333339</v>
      </c>
      <c r="E91" s="12">
        <f t="shared" si="6"/>
        <v>0.44444444444444486</v>
      </c>
      <c r="G91" s="12">
        <v>8</v>
      </c>
      <c r="H91" s="12">
        <v>9</v>
      </c>
      <c r="I91" s="12">
        <f t="shared" si="5"/>
        <v>8.3333333333333339</v>
      </c>
      <c r="J91" s="12">
        <f t="shared" si="7"/>
        <v>0.44444444444444486</v>
      </c>
    </row>
    <row r="92" spans="2:10" x14ac:dyDescent="0.25">
      <c r="B92" s="12">
        <v>9</v>
      </c>
      <c r="C92" s="12">
        <v>12</v>
      </c>
      <c r="D92" s="12">
        <f t="shared" si="4"/>
        <v>8</v>
      </c>
      <c r="E92" s="12">
        <f t="shared" si="6"/>
        <v>0.44444444444444364</v>
      </c>
      <c r="G92" s="12">
        <v>9</v>
      </c>
      <c r="H92" s="12">
        <v>12</v>
      </c>
      <c r="I92" s="12">
        <f t="shared" si="5"/>
        <v>8</v>
      </c>
      <c r="J92" s="12">
        <f t="shared" si="7"/>
        <v>0.44444444444444364</v>
      </c>
    </row>
    <row r="93" spans="2:10" x14ac:dyDescent="0.25">
      <c r="B93" s="12">
        <v>10</v>
      </c>
      <c r="C93" s="12">
        <v>14</v>
      </c>
      <c r="D93" s="12">
        <f t="shared" si="4"/>
        <v>9.3333333333333339</v>
      </c>
      <c r="E93" s="12">
        <f t="shared" si="6"/>
        <v>16</v>
      </c>
      <c r="G93" s="12">
        <v>10</v>
      </c>
      <c r="H93" s="12">
        <v>14</v>
      </c>
      <c r="I93" s="12">
        <f t="shared" si="5"/>
        <v>9.3333333333333339</v>
      </c>
      <c r="J93" s="12">
        <f t="shared" si="7"/>
        <v>16</v>
      </c>
    </row>
    <row r="94" spans="2:10" x14ac:dyDescent="0.25">
      <c r="B94" s="12">
        <v>11</v>
      </c>
      <c r="C94" s="12">
        <v>15</v>
      </c>
      <c r="D94" s="12">
        <f t="shared" si="4"/>
        <v>11.666666666666666</v>
      </c>
      <c r="E94" s="12">
        <f t="shared" si="6"/>
        <v>21.777777777777771</v>
      </c>
      <c r="G94" s="12">
        <v>11</v>
      </c>
      <c r="H94" s="12">
        <v>15</v>
      </c>
      <c r="I94" s="12">
        <f t="shared" si="5"/>
        <v>11.666666666666666</v>
      </c>
      <c r="J94" s="12">
        <f t="shared" si="7"/>
        <v>21.777777777777771</v>
      </c>
    </row>
    <row r="95" spans="2:10" x14ac:dyDescent="0.25">
      <c r="B95" s="114">
        <v>12</v>
      </c>
      <c r="C95" s="114"/>
      <c r="D95" s="114">
        <f t="shared" si="4"/>
        <v>13.666666666666666</v>
      </c>
      <c r="E95" s="114">
        <f>(C94-D94)^2</f>
        <v>11.111111111111114</v>
      </c>
      <c r="G95" s="114">
        <v>12</v>
      </c>
      <c r="H95" s="114"/>
      <c r="I95" s="114">
        <f t="shared" si="5"/>
        <v>13.666666666666666</v>
      </c>
      <c r="J95" s="114">
        <f t="shared" si="7"/>
        <v>11.111111111111114</v>
      </c>
    </row>
    <row r="98" spans="2:8" x14ac:dyDescent="0.25">
      <c r="B98" s="202" t="s">
        <v>110</v>
      </c>
      <c r="C98" s="202"/>
      <c r="G98" s="202" t="s">
        <v>142</v>
      </c>
      <c r="H98" s="202"/>
    </row>
    <row r="99" spans="2:8" x14ac:dyDescent="0.25">
      <c r="B99" s="112" t="s">
        <v>160</v>
      </c>
      <c r="C99" s="12">
        <v>3</v>
      </c>
      <c r="G99" s="112" t="s">
        <v>160</v>
      </c>
      <c r="H99" s="12">
        <v>3</v>
      </c>
    </row>
    <row r="100" spans="2:8" x14ac:dyDescent="0.25">
      <c r="B100" s="112" t="s">
        <v>357</v>
      </c>
      <c r="C100" s="12">
        <f>AVERAGE(E87:E95)</f>
        <v>9.1851851851851833</v>
      </c>
      <c r="G100" s="112" t="s">
        <v>357</v>
      </c>
      <c r="H100" s="12">
        <f>AVERAGE(J87:J95)</f>
        <v>14.160493827160494</v>
      </c>
    </row>
    <row r="103" spans="2:8" x14ac:dyDescent="0.25">
      <c r="B103" s="112" t="s">
        <v>169</v>
      </c>
    </row>
    <row r="119" spans="2:7" ht="15" customHeight="1" x14ac:dyDescent="0.25">
      <c r="B119" s="112" t="s">
        <v>307</v>
      </c>
      <c r="C119" s="168" t="s">
        <v>359</v>
      </c>
      <c r="D119" s="168"/>
      <c r="E119" s="168"/>
      <c r="F119" s="168"/>
      <c r="G119" s="168"/>
    </row>
    <row r="120" spans="2:7" x14ac:dyDescent="0.25">
      <c r="C120" s="168"/>
      <c r="D120" s="168"/>
      <c r="E120" s="168"/>
      <c r="F120" s="168"/>
      <c r="G120" s="168"/>
    </row>
    <row r="121" spans="2:7" x14ac:dyDescent="0.25">
      <c r="C121" s="168"/>
      <c r="D121" s="168"/>
      <c r="E121" s="168"/>
      <c r="F121" s="168"/>
      <c r="G121" s="168"/>
    </row>
    <row r="122" spans="2:7" x14ac:dyDescent="0.25">
      <c r="C122" s="168"/>
      <c r="D122" s="168"/>
      <c r="E122" s="168"/>
      <c r="F122" s="168"/>
      <c r="G122" s="168"/>
    </row>
  </sheetData>
  <mergeCells count="6">
    <mergeCell ref="C119:G122"/>
    <mergeCell ref="B2:G3"/>
    <mergeCell ref="B27:G28"/>
    <mergeCell ref="G45:L46"/>
    <mergeCell ref="B98:C98"/>
    <mergeCell ref="G98:H98"/>
  </mergeCells>
  <pageMargins left="0.7" right="0.7" top="0.75" bottom="0.75" header="0.3" footer="0.3"/>
  <pageSetup orientation="portrait" r:id="rId1"/>
  <ignoredErrors>
    <ignoredError sqref="D18 D9:D11 D12:D17 D87:D94" formulaRange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DD377-CB7A-4FCB-BB64-BE2A6E5B20D8}">
  <dimension ref="A1:M80"/>
  <sheetViews>
    <sheetView zoomScale="81" workbookViewId="0">
      <selection activeCell="D1" sqref="D1:H2"/>
    </sheetView>
  </sheetViews>
  <sheetFormatPr baseColWidth="10" defaultRowHeight="15" x14ac:dyDescent="0.25"/>
  <cols>
    <col min="2" max="2" width="17.85546875" customWidth="1"/>
    <col min="4" max="4" width="23.7109375" bestFit="1" customWidth="1"/>
    <col min="5" max="5" width="15.85546875" bestFit="1" customWidth="1"/>
    <col min="6" max="6" width="24.140625" bestFit="1" customWidth="1"/>
    <col min="7" max="7" width="20.42578125" bestFit="1" customWidth="1"/>
    <col min="8" max="8" width="24.140625" bestFit="1" customWidth="1"/>
    <col min="9" max="9" width="20.42578125" bestFit="1" customWidth="1"/>
    <col min="10" max="10" width="24.140625" bestFit="1" customWidth="1"/>
    <col min="11" max="11" width="22.85546875" bestFit="1" customWidth="1"/>
    <col min="12" max="12" width="26.28515625" bestFit="1" customWidth="1"/>
  </cols>
  <sheetData>
    <row r="1" spans="1:10" x14ac:dyDescent="0.25">
      <c r="D1" s="204" t="s">
        <v>346</v>
      </c>
      <c r="E1" s="204"/>
      <c r="F1" s="204"/>
      <c r="G1" s="204"/>
      <c r="H1" s="204"/>
    </row>
    <row r="2" spans="1:10" x14ac:dyDescent="0.25">
      <c r="D2" s="204"/>
      <c r="E2" s="204"/>
      <c r="F2" s="204"/>
      <c r="G2" s="204"/>
      <c r="H2" s="204"/>
    </row>
    <row r="3" spans="1:10" ht="23.25" x14ac:dyDescent="0.35">
      <c r="A3" s="119" t="s">
        <v>360</v>
      </c>
      <c r="B3" s="120"/>
    </row>
    <row r="4" spans="1:10" ht="27.75" customHeight="1" x14ac:dyDescent="0.3">
      <c r="B4" s="99" t="s">
        <v>361</v>
      </c>
    </row>
    <row r="5" spans="1:10" ht="18.75" x14ac:dyDescent="0.3">
      <c r="B5" s="99"/>
    </row>
    <row r="6" spans="1:10" ht="18.75" x14ac:dyDescent="0.3">
      <c r="B6" s="99"/>
      <c r="D6" s="126" t="s">
        <v>379</v>
      </c>
      <c r="E6" s="203">
        <v>2</v>
      </c>
      <c r="F6" s="203"/>
      <c r="G6" s="203">
        <v>4</v>
      </c>
      <c r="H6" s="203"/>
      <c r="I6" s="203">
        <v>5</v>
      </c>
      <c r="J6" s="203"/>
    </row>
    <row r="7" spans="1:10" x14ac:dyDescent="0.25">
      <c r="C7" s="126" t="s">
        <v>362</v>
      </c>
      <c r="D7" s="130" t="s">
        <v>363</v>
      </c>
      <c r="E7" s="130" t="s">
        <v>381</v>
      </c>
      <c r="F7" s="130" t="s">
        <v>350</v>
      </c>
      <c r="G7" s="130" t="s">
        <v>382</v>
      </c>
      <c r="H7" s="130" t="s">
        <v>350</v>
      </c>
      <c r="I7" s="130" t="s">
        <v>383</v>
      </c>
      <c r="J7" s="130" t="s">
        <v>350</v>
      </c>
    </row>
    <row r="8" spans="1:10" x14ac:dyDescent="0.25">
      <c r="C8" s="127">
        <v>44927</v>
      </c>
      <c r="D8" s="128">
        <v>72</v>
      </c>
      <c r="E8" s="12"/>
      <c r="F8" s="12"/>
      <c r="G8" s="12"/>
      <c r="H8" s="12"/>
      <c r="I8" s="12"/>
      <c r="J8" s="12"/>
    </row>
    <row r="9" spans="1:10" x14ac:dyDescent="0.25">
      <c r="C9" s="127">
        <v>44958</v>
      </c>
      <c r="D9" s="128">
        <v>80</v>
      </c>
      <c r="E9" s="12"/>
      <c r="F9" s="12"/>
      <c r="G9" s="12"/>
      <c r="H9" s="12"/>
      <c r="I9" s="12"/>
      <c r="J9" s="12"/>
    </row>
    <row r="10" spans="1:10" x14ac:dyDescent="0.25">
      <c r="C10" s="127">
        <v>44986</v>
      </c>
      <c r="D10" s="128">
        <v>22</v>
      </c>
      <c r="E10" s="12">
        <f>(SUM(D8:D9))/$E$6</f>
        <v>76</v>
      </c>
      <c r="F10" s="12">
        <f>'Serie de Tiempo'!D10</f>
        <v>22</v>
      </c>
      <c r="G10" s="12"/>
      <c r="H10" s="12"/>
      <c r="I10" s="12"/>
      <c r="J10" s="12"/>
    </row>
    <row r="11" spans="1:10" x14ac:dyDescent="0.25">
      <c r="C11" s="127">
        <v>45017</v>
      </c>
      <c r="D11" s="128">
        <v>9</v>
      </c>
      <c r="E11" s="12">
        <f t="shared" ref="E11:E20" si="0">(SUM(D9:D10))/$E$6</f>
        <v>51</v>
      </c>
      <c r="F11" s="12">
        <f>(D10-E10)^2</f>
        <v>2916</v>
      </c>
      <c r="G11" s="12"/>
      <c r="H11" s="12"/>
      <c r="I11" s="12"/>
      <c r="J11" s="12"/>
    </row>
    <row r="12" spans="1:10" x14ac:dyDescent="0.25">
      <c r="C12" s="127">
        <v>45047</v>
      </c>
      <c r="D12" s="128">
        <v>163</v>
      </c>
      <c r="E12" s="12">
        <f t="shared" si="0"/>
        <v>15.5</v>
      </c>
      <c r="F12" s="12">
        <f t="shared" ref="F12:F20" si="1">(D11-E11)^2</f>
        <v>1764</v>
      </c>
      <c r="G12" s="12">
        <f>(SUM(D8:D11))/$G$6</f>
        <v>45.75</v>
      </c>
      <c r="H12" s="12">
        <f>D12</f>
        <v>163</v>
      </c>
      <c r="I12" s="12"/>
      <c r="J12" s="12"/>
    </row>
    <row r="13" spans="1:10" x14ac:dyDescent="0.25">
      <c r="C13" s="127">
        <v>45078</v>
      </c>
      <c r="D13" s="128">
        <v>65</v>
      </c>
      <c r="E13" s="12">
        <f t="shared" si="0"/>
        <v>86</v>
      </c>
      <c r="F13" s="12">
        <f t="shared" si="1"/>
        <v>21756.25</v>
      </c>
      <c r="G13" s="12">
        <f t="shared" ref="G13:G20" si="2">(SUM(D9:D12))/$G$6</f>
        <v>68.5</v>
      </c>
      <c r="H13" s="12">
        <f>($D12-G12)^2</f>
        <v>13747.5625</v>
      </c>
      <c r="I13" s="12">
        <f>(SUM(D8:D12))/$I$6</f>
        <v>69.2</v>
      </c>
      <c r="J13" s="12">
        <f>D13</f>
        <v>65</v>
      </c>
    </row>
    <row r="14" spans="1:10" x14ac:dyDescent="0.25">
      <c r="C14" s="127">
        <v>45108</v>
      </c>
      <c r="D14" s="128">
        <v>187</v>
      </c>
      <c r="E14" s="12">
        <f t="shared" si="0"/>
        <v>114</v>
      </c>
      <c r="F14" s="12">
        <f t="shared" si="1"/>
        <v>441</v>
      </c>
      <c r="G14" s="12">
        <f t="shared" si="2"/>
        <v>64.75</v>
      </c>
      <c r="H14" s="12">
        <f t="shared" ref="H14:H20" si="3">($D13-G13)^2</f>
        <v>12.25</v>
      </c>
      <c r="I14" s="12">
        <f t="shared" ref="I14:I20" si="4">(SUM(D9:D13))/$I$6</f>
        <v>67.8</v>
      </c>
      <c r="J14" s="12">
        <f>($D13-I13)^2</f>
        <v>17.640000000000025</v>
      </c>
    </row>
    <row r="15" spans="1:10" x14ac:dyDescent="0.25">
      <c r="C15" s="127">
        <v>45139</v>
      </c>
      <c r="D15" s="128">
        <v>319</v>
      </c>
      <c r="E15" s="12">
        <f t="shared" si="0"/>
        <v>126</v>
      </c>
      <c r="F15" s="12">
        <f t="shared" si="1"/>
        <v>5329</v>
      </c>
      <c r="G15" s="12">
        <f t="shared" si="2"/>
        <v>106</v>
      </c>
      <c r="H15" s="12">
        <f t="shared" si="3"/>
        <v>14945.0625</v>
      </c>
      <c r="I15" s="12">
        <f t="shared" si="4"/>
        <v>89.2</v>
      </c>
      <c r="J15" s="12">
        <f t="shared" ref="J15:J20" si="5">($D14-I14)^2</f>
        <v>14208.640000000001</v>
      </c>
    </row>
    <row r="16" spans="1:10" x14ac:dyDescent="0.25">
      <c r="C16" s="127">
        <v>45170</v>
      </c>
      <c r="D16" s="128">
        <v>236</v>
      </c>
      <c r="E16" s="12">
        <f t="shared" si="0"/>
        <v>253</v>
      </c>
      <c r="F16" s="12">
        <f t="shared" si="1"/>
        <v>37249</v>
      </c>
      <c r="G16" s="12">
        <f t="shared" si="2"/>
        <v>183.5</v>
      </c>
      <c r="H16" s="12">
        <f t="shared" si="3"/>
        <v>45369</v>
      </c>
      <c r="I16" s="12">
        <f t="shared" si="4"/>
        <v>148.6</v>
      </c>
      <c r="J16" s="12">
        <f t="shared" si="5"/>
        <v>52808.040000000008</v>
      </c>
    </row>
    <row r="17" spans="3:12" x14ac:dyDescent="0.25">
      <c r="C17" s="127">
        <v>45200</v>
      </c>
      <c r="D17" s="128">
        <v>201</v>
      </c>
      <c r="E17" s="12">
        <f t="shared" si="0"/>
        <v>277.5</v>
      </c>
      <c r="F17" s="12">
        <f t="shared" si="1"/>
        <v>289</v>
      </c>
      <c r="G17" s="12">
        <f t="shared" si="2"/>
        <v>201.75</v>
      </c>
      <c r="H17" s="12">
        <f t="shared" si="3"/>
        <v>2756.25</v>
      </c>
      <c r="I17" s="12">
        <f t="shared" si="4"/>
        <v>194</v>
      </c>
      <c r="J17" s="12">
        <f t="shared" si="5"/>
        <v>7638.7600000000011</v>
      </c>
    </row>
    <row r="18" spans="3:12" x14ac:dyDescent="0.25">
      <c r="C18" s="127">
        <v>45231</v>
      </c>
      <c r="D18" s="128">
        <v>75</v>
      </c>
      <c r="E18" s="12">
        <f t="shared" si="0"/>
        <v>218.5</v>
      </c>
      <c r="F18" s="12">
        <f t="shared" si="1"/>
        <v>5852.25</v>
      </c>
      <c r="G18" s="12">
        <f t="shared" si="2"/>
        <v>235.75</v>
      </c>
      <c r="H18" s="12">
        <f t="shared" si="3"/>
        <v>0.5625</v>
      </c>
      <c r="I18" s="12">
        <f t="shared" si="4"/>
        <v>201.6</v>
      </c>
      <c r="J18" s="12">
        <f t="shared" si="5"/>
        <v>49</v>
      </c>
    </row>
    <row r="19" spans="3:12" x14ac:dyDescent="0.25">
      <c r="C19" s="127">
        <v>45261</v>
      </c>
      <c r="D19" s="128">
        <v>104</v>
      </c>
      <c r="E19" s="12">
        <f t="shared" si="0"/>
        <v>138</v>
      </c>
      <c r="F19" s="12">
        <f t="shared" si="1"/>
        <v>20592.25</v>
      </c>
      <c r="G19" s="12">
        <f t="shared" si="2"/>
        <v>207.75</v>
      </c>
      <c r="H19" s="12">
        <f t="shared" si="3"/>
        <v>25840.5625</v>
      </c>
      <c r="I19" s="12">
        <f t="shared" si="4"/>
        <v>203.6</v>
      </c>
      <c r="J19" s="12">
        <f t="shared" si="5"/>
        <v>16027.559999999998</v>
      </c>
    </row>
    <row r="20" spans="3:12" x14ac:dyDescent="0.25">
      <c r="C20" s="127">
        <v>45292</v>
      </c>
      <c r="D20" s="128"/>
      <c r="E20" s="12">
        <f t="shared" si="0"/>
        <v>89.5</v>
      </c>
      <c r="F20" s="12">
        <f t="shared" si="1"/>
        <v>1156</v>
      </c>
      <c r="G20" s="12">
        <f t="shared" si="2"/>
        <v>154</v>
      </c>
      <c r="H20" s="12">
        <f t="shared" si="3"/>
        <v>10764.0625</v>
      </c>
      <c r="I20" s="12">
        <f t="shared" si="4"/>
        <v>187</v>
      </c>
      <c r="J20" s="12">
        <f t="shared" si="5"/>
        <v>9920.159999999998</v>
      </c>
      <c r="L20" s="111"/>
    </row>
    <row r="21" spans="3:12" x14ac:dyDescent="0.25">
      <c r="E21" s="126" t="s">
        <v>380</v>
      </c>
      <c r="F21" s="8">
        <f>AVERAGE(F10:F20)</f>
        <v>8851.5227272727279</v>
      </c>
      <c r="G21" s="126" t="s">
        <v>380</v>
      </c>
      <c r="H21" s="8">
        <f>AVERAGE(H12:H20)</f>
        <v>12622.034722222223</v>
      </c>
      <c r="I21" s="126" t="s">
        <v>380</v>
      </c>
      <c r="J21" s="8">
        <f>AVERAGE(J13:J20)</f>
        <v>12591.85</v>
      </c>
      <c r="L21" s="111"/>
    </row>
    <row r="22" spans="3:12" x14ac:dyDescent="0.25">
      <c r="L22" s="111"/>
    </row>
    <row r="23" spans="3:12" x14ac:dyDescent="0.25">
      <c r="C23" s="126" t="s">
        <v>362</v>
      </c>
      <c r="D23" s="126" t="s">
        <v>364</v>
      </c>
      <c r="E23" s="130" t="s">
        <v>381</v>
      </c>
      <c r="F23" s="130" t="s">
        <v>350</v>
      </c>
      <c r="G23" s="130" t="s">
        <v>382</v>
      </c>
      <c r="H23" s="130" t="s">
        <v>350</v>
      </c>
      <c r="I23" s="130" t="s">
        <v>383</v>
      </c>
      <c r="J23" s="126" t="s">
        <v>350</v>
      </c>
      <c r="L23" s="111"/>
    </row>
    <row r="24" spans="3:12" x14ac:dyDescent="0.25">
      <c r="C24" s="127">
        <v>44927</v>
      </c>
      <c r="D24" s="128">
        <v>94</v>
      </c>
      <c r="E24" s="12"/>
      <c r="F24" s="12"/>
      <c r="G24" s="12"/>
      <c r="H24" s="12"/>
      <c r="I24" s="12"/>
      <c r="J24" s="12"/>
      <c r="L24" s="111"/>
    </row>
    <row r="25" spans="3:12" x14ac:dyDescent="0.25">
      <c r="C25" s="127">
        <v>44958</v>
      </c>
      <c r="D25" s="128">
        <v>91</v>
      </c>
      <c r="E25" s="12"/>
      <c r="F25" s="12"/>
      <c r="G25" s="12"/>
      <c r="H25" s="12"/>
      <c r="I25" s="12"/>
      <c r="J25" s="12"/>
      <c r="L25" s="111"/>
    </row>
    <row r="26" spans="3:12" x14ac:dyDescent="0.25">
      <c r="C26" s="127">
        <v>44986</v>
      </c>
      <c r="D26" s="128">
        <v>86</v>
      </c>
      <c r="E26" s="12">
        <f>(SUM(D24:D25))/$E$6</f>
        <v>92.5</v>
      </c>
      <c r="F26" s="12">
        <f>'Serie de Tiempo'!D26</f>
        <v>86</v>
      </c>
      <c r="G26" s="12"/>
      <c r="H26" s="12"/>
      <c r="I26" s="12"/>
      <c r="J26" s="12"/>
      <c r="L26" s="111"/>
    </row>
    <row r="27" spans="3:12" x14ac:dyDescent="0.25">
      <c r="C27" s="127">
        <v>45017</v>
      </c>
      <c r="D27" s="128">
        <v>90</v>
      </c>
      <c r="E27" s="12">
        <f t="shared" ref="E27:E36" si="6">(SUM(D25:D26))/$E$6</f>
        <v>88.5</v>
      </c>
      <c r="F27" s="12">
        <f>(D26-E26)^2</f>
        <v>42.25</v>
      </c>
      <c r="G27" s="12"/>
      <c r="H27" s="12"/>
      <c r="I27" s="12"/>
      <c r="J27" s="12"/>
      <c r="L27" s="111"/>
    </row>
    <row r="28" spans="3:12" x14ac:dyDescent="0.25">
      <c r="C28" s="127">
        <v>45047</v>
      </c>
      <c r="D28" s="128">
        <v>95</v>
      </c>
      <c r="E28" s="12">
        <f t="shared" si="6"/>
        <v>88</v>
      </c>
      <c r="F28" s="12">
        <f t="shared" ref="F28:F36" si="7">(D27-E27)^2</f>
        <v>2.25</v>
      </c>
      <c r="G28" s="12">
        <f>(SUM(D24:D27))/$G$6</f>
        <v>90.25</v>
      </c>
      <c r="H28" s="12">
        <f>D28</f>
        <v>95</v>
      </c>
      <c r="I28" s="12"/>
      <c r="J28" s="12"/>
      <c r="L28" s="111"/>
    </row>
    <row r="29" spans="3:12" x14ac:dyDescent="0.25">
      <c r="C29" s="127">
        <v>45078</v>
      </c>
      <c r="D29" s="128">
        <v>88</v>
      </c>
      <c r="E29" s="12">
        <f t="shared" si="6"/>
        <v>92.5</v>
      </c>
      <c r="F29" s="12">
        <f t="shared" si="7"/>
        <v>49</v>
      </c>
      <c r="G29" s="12">
        <f t="shared" ref="G29:G36" si="8">(SUM(D25:D28))/$G$6</f>
        <v>90.5</v>
      </c>
      <c r="H29" s="12">
        <f>($D28-G28)^2</f>
        <v>22.5625</v>
      </c>
      <c r="I29" s="12">
        <f>(SUM(D24:D28))/$I$6</f>
        <v>91.2</v>
      </c>
      <c r="J29" s="12">
        <f>D29</f>
        <v>88</v>
      </c>
      <c r="L29" s="111"/>
    </row>
    <row r="30" spans="3:12" x14ac:dyDescent="0.25">
      <c r="C30" s="127">
        <v>45108</v>
      </c>
      <c r="D30" s="128">
        <v>99</v>
      </c>
      <c r="E30" s="12">
        <f t="shared" si="6"/>
        <v>91.5</v>
      </c>
      <c r="F30" s="12">
        <f t="shared" si="7"/>
        <v>20.25</v>
      </c>
      <c r="G30" s="12">
        <f t="shared" si="8"/>
        <v>89.75</v>
      </c>
      <c r="H30" s="12">
        <f t="shared" ref="H30:H36" si="9">($D29-G29)^2</f>
        <v>6.25</v>
      </c>
      <c r="I30" s="12">
        <f t="shared" ref="I30:I36" si="10">(SUM(D25:D29))/$I$6</f>
        <v>90</v>
      </c>
      <c r="J30" s="12">
        <f>($D29-I29)^2</f>
        <v>10.240000000000018</v>
      </c>
      <c r="L30" s="111"/>
    </row>
    <row r="31" spans="3:12" x14ac:dyDescent="0.25">
      <c r="C31" s="127">
        <v>45139</v>
      </c>
      <c r="D31" s="128">
        <v>95</v>
      </c>
      <c r="E31" s="12">
        <f t="shared" si="6"/>
        <v>93.5</v>
      </c>
      <c r="F31" s="12">
        <f t="shared" si="7"/>
        <v>56.25</v>
      </c>
      <c r="G31" s="12">
        <f t="shared" si="8"/>
        <v>93</v>
      </c>
      <c r="H31" s="12">
        <f t="shared" si="9"/>
        <v>85.5625</v>
      </c>
      <c r="I31" s="12">
        <f t="shared" si="10"/>
        <v>91.6</v>
      </c>
      <c r="J31" s="12">
        <f t="shared" ref="J31:J36" si="11">($D30-I30)^2</f>
        <v>81</v>
      </c>
      <c r="L31" s="111"/>
    </row>
    <row r="32" spans="3:12" x14ac:dyDescent="0.25">
      <c r="C32" s="127">
        <v>45170</v>
      </c>
      <c r="D32" s="128">
        <v>90</v>
      </c>
      <c r="E32" s="12">
        <f t="shared" si="6"/>
        <v>97</v>
      </c>
      <c r="F32" s="12">
        <f t="shared" si="7"/>
        <v>2.25</v>
      </c>
      <c r="G32" s="12">
        <f t="shared" si="8"/>
        <v>94.25</v>
      </c>
      <c r="H32" s="12">
        <f t="shared" si="9"/>
        <v>4</v>
      </c>
      <c r="I32" s="12">
        <f t="shared" si="10"/>
        <v>93.4</v>
      </c>
      <c r="J32" s="12">
        <f t="shared" si="11"/>
        <v>11.560000000000038</v>
      </c>
      <c r="L32" s="111"/>
    </row>
    <row r="33" spans="1:13" x14ac:dyDescent="0.25">
      <c r="C33" s="127">
        <v>45200</v>
      </c>
      <c r="D33" s="128">
        <v>93</v>
      </c>
      <c r="E33" s="12">
        <f t="shared" si="6"/>
        <v>92.5</v>
      </c>
      <c r="F33" s="12">
        <f t="shared" si="7"/>
        <v>49</v>
      </c>
      <c r="G33" s="12">
        <f t="shared" si="8"/>
        <v>93</v>
      </c>
      <c r="H33" s="12">
        <f t="shared" si="9"/>
        <v>18.0625</v>
      </c>
      <c r="I33" s="12">
        <f t="shared" si="10"/>
        <v>93.4</v>
      </c>
      <c r="J33" s="12">
        <f t="shared" si="11"/>
        <v>11.560000000000038</v>
      </c>
      <c r="L33" s="111"/>
    </row>
    <row r="34" spans="1:13" x14ac:dyDescent="0.25">
      <c r="C34" s="127">
        <v>45231</v>
      </c>
      <c r="D34" s="128">
        <v>87</v>
      </c>
      <c r="E34" s="12">
        <f t="shared" si="6"/>
        <v>91.5</v>
      </c>
      <c r="F34" s="12">
        <f t="shared" si="7"/>
        <v>0.25</v>
      </c>
      <c r="G34" s="12">
        <f t="shared" si="8"/>
        <v>94.25</v>
      </c>
      <c r="H34" s="12">
        <f t="shared" si="9"/>
        <v>0</v>
      </c>
      <c r="I34" s="12">
        <f t="shared" si="10"/>
        <v>93</v>
      </c>
      <c r="J34" s="12">
        <f t="shared" si="11"/>
        <v>0.16000000000000456</v>
      </c>
      <c r="L34" s="111"/>
    </row>
    <row r="35" spans="1:13" x14ac:dyDescent="0.25">
      <c r="C35" s="127">
        <v>45261</v>
      </c>
      <c r="D35" s="128">
        <v>90</v>
      </c>
      <c r="E35" s="12">
        <f t="shared" si="6"/>
        <v>90</v>
      </c>
      <c r="F35" s="12">
        <f t="shared" si="7"/>
        <v>20.25</v>
      </c>
      <c r="G35" s="12">
        <f t="shared" si="8"/>
        <v>91.25</v>
      </c>
      <c r="H35" s="12">
        <f t="shared" si="9"/>
        <v>52.5625</v>
      </c>
      <c r="I35" s="12">
        <f t="shared" si="10"/>
        <v>92.8</v>
      </c>
      <c r="J35" s="12">
        <f t="shared" si="11"/>
        <v>36</v>
      </c>
      <c r="L35" s="111"/>
    </row>
    <row r="36" spans="1:13" x14ac:dyDescent="0.25">
      <c r="C36" s="127">
        <v>45292</v>
      </c>
      <c r="D36" s="8"/>
      <c r="E36" s="12">
        <f t="shared" si="6"/>
        <v>88.5</v>
      </c>
      <c r="F36" s="12">
        <f t="shared" si="7"/>
        <v>0</v>
      </c>
      <c r="G36" s="12">
        <f t="shared" si="8"/>
        <v>90</v>
      </c>
      <c r="H36" s="12">
        <f t="shared" si="9"/>
        <v>1.5625</v>
      </c>
      <c r="I36" s="12">
        <f t="shared" si="10"/>
        <v>91</v>
      </c>
      <c r="J36" s="12">
        <f t="shared" si="11"/>
        <v>7.8399999999999839</v>
      </c>
    </row>
    <row r="37" spans="1:13" x14ac:dyDescent="0.25">
      <c r="E37" s="126" t="s">
        <v>380</v>
      </c>
      <c r="F37" s="8">
        <f>AVERAGE(F26:F36)</f>
        <v>29.795454545454547</v>
      </c>
      <c r="G37" s="126" t="s">
        <v>380</v>
      </c>
      <c r="H37" s="8">
        <f>AVERAGE(H28:H36)</f>
        <v>31.729166666666668</v>
      </c>
      <c r="I37" s="126" t="s">
        <v>380</v>
      </c>
      <c r="J37" s="8">
        <f>AVERAGE(J26:J36)</f>
        <v>30.795000000000005</v>
      </c>
    </row>
    <row r="38" spans="1:13" x14ac:dyDescent="0.25">
      <c r="E38" s="129"/>
      <c r="F38" s="129"/>
    </row>
    <row r="39" spans="1:13" x14ac:dyDescent="0.25">
      <c r="B39" s="121" t="s">
        <v>365</v>
      </c>
      <c r="C39" s="121"/>
    </row>
    <row r="40" spans="1:13" x14ac:dyDescent="0.25">
      <c r="B40" s="121" t="s">
        <v>366</v>
      </c>
      <c r="C40" s="121"/>
    </row>
    <row r="43" spans="1:13" ht="23.25" x14ac:dyDescent="0.35">
      <c r="A43" s="119" t="s">
        <v>159</v>
      </c>
      <c r="B43" s="120"/>
    </row>
    <row r="45" spans="1:13" ht="16.5" x14ac:dyDescent="0.3">
      <c r="A45" s="122" t="s">
        <v>367</v>
      </c>
    </row>
    <row r="46" spans="1:13" ht="16.5" x14ac:dyDescent="0.3">
      <c r="A46" s="122" t="s">
        <v>368</v>
      </c>
    </row>
    <row r="48" spans="1:13" s="123" customFormat="1" ht="33" customHeight="1" thickBot="1" x14ac:dyDescent="0.3">
      <c r="B48" s="132" t="s">
        <v>369</v>
      </c>
      <c r="C48" s="132" t="s">
        <v>370</v>
      </c>
      <c r="D48" s="132" t="s">
        <v>371</v>
      </c>
      <c r="E48" s="132" t="s">
        <v>350</v>
      </c>
      <c r="F48" s="132" t="s">
        <v>372</v>
      </c>
      <c r="G48" s="132" t="s">
        <v>350</v>
      </c>
      <c r="H48" s="132" t="s">
        <v>373</v>
      </c>
      <c r="I48" s="132" t="s">
        <v>350</v>
      </c>
      <c r="J48" s="132" t="s">
        <v>374</v>
      </c>
      <c r="K48" s="132" t="s">
        <v>350</v>
      </c>
      <c r="L48" s="132" t="s">
        <v>375</v>
      </c>
      <c r="M48" s="132" t="s">
        <v>350</v>
      </c>
    </row>
    <row r="49" spans="2:13" ht="17.25" thickBot="1" x14ac:dyDescent="0.3">
      <c r="B49" s="133" t="s">
        <v>269</v>
      </c>
      <c r="C49" s="134">
        <v>80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</row>
    <row r="50" spans="2:13" ht="17.25" thickBot="1" x14ac:dyDescent="0.3">
      <c r="B50" s="133" t="s">
        <v>270</v>
      </c>
      <c r="C50" s="134">
        <v>90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2:13" ht="17.25" thickBot="1" x14ac:dyDescent="0.3">
      <c r="B51" s="133" t="s">
        <v>271</v>
      </c>
      <c r="C51" s="134">
        <v>85</v>
      </c>
      <c r="D51" s="12">
        <f>(SUM(C49:C50))/2</f>
        <v>85</v>
      </c>
      <c r="E51" s="12">
        <f>$C51</f>
        <v>85</v>
      </c>
      <c r="F51" s="12"/>
      <c r="G51" s="12"/>
      <c r="H51" s="12"/>
      <c r="I51" s="12"/>
      <c r="J51" s="12"/>
      <c r="K51" s="12"/>
      <c r="L51" s="12"/>
      <c r="M51" s="12"/>
    </row>
    <row r="52" spans="2:13" ht="17.25" thickBot="1" x14ac:dyDescent="0.3">
      <c r="B52" s="133" t="s">
        <v>272</v>
      </c>
      <c r="C52" s="134">
        <v>70</v>
      </c>
      <c r="D52" s="12">
        <f t="shared" ref="D52:D61" si="12">(SUM(C50:C51))/2</f>
        <v>87.5</v>
      </c>
      <c r="E52" s="12">
        <f>($C51-D51)^2</f>
        <v>0</v>
      </c>
      <c r="F52" s="12">
        <f t="shared" ref="F52:F61" si="13">(SUM(C49:C51))/3</f>
        <v>85</v>
      </c>
      <c r="G52" s="12">
        <f>($C52)</f>
        <v>70</v>
      </c>
      <c r="H52" s="12"/>
      <c r="I52" s="12"/>
      <c r="J52" s="12"/>
      <c r="K52" s="12"/>
      <c r="L52" s="12"/>
      <c r="M52" s="12"/>
    </row>
    <row r="53" spans="2:13" ht="17.25" thickBot="1" x14ac:dyDescent="0.3">
      <c r="B53" s="135" t="s">
        <v>273</v>
      </c>
      <c r="C53" s="136">
        <v>80</v>
      </c>
      <c r="D53" s="12">
        <f t="shared" si="12"/>
        <v>77.5</v>
      </c>
      <c r="E53" s="12">
        <f t="shared" ref="E53:E61" si="14">($C52-D52)^2</f>
        <v>306.25</v>
      </c>
      <c r="F53" s="12">
        <f t="shared" si="13"/>
        <v>81.666666666666671</v>
      </c>
      <c r="G53" s="12">
        <f t="shared" ref="G53:G61" si="15">($C52-F52)^2</f>
        <v>225</v>
      </c>
      <c r="H53" s="12">
        <f>(SUM($C49:$C52))/4</f>
        <v>81.25</v>
      </c>
      <c r="I53" s="12">
        <f>($C53)</f>
        <v>80</v>
      </c>
      <c r="J53" s="12"/>
      <c r="K53" s="12"/>
      <c r="L53" s="12"/>
      <c r="M53" s="12"/>
    </row>
    <row r="54" spans="2:13" ht="17.25" thickBot="1" x14ac:dyDescent="0.3">
      <c r="B54" s="135" t="s">
        <v>274</v>
      </c>
      <c r="C54" s="136">
        <v>105</v>
      </c>
      <c r="D54" s="12">
        <f t="shared" si="12"/>
        <v>75</v>
      </c>
      <c r="E54" s="12">
        <f t="shared" si="14"/>
        <v>6.25</v>
      </c>
      <c r="F54" s="12">
        <f t="shared" si="13"/>
        <v>78.333333333333329</v>
      </c>
      <c r="G54" s="12">
        <f t="shared" si="15"/>
        <v>2.7777777777777937</v>
      </c>
      <c r="H54" s="12">
        <f t="shared" ref="H54:H61" si="16">(SUM($C50:$C53))/4</f>
        <v>81.25</v>
      </c>
      <c r="I54" s="12">
        <f t="shared" ref="I54:I61" si="17">($C53-H53)^2</f>
        <v>1.5625</v>
      </c>
      <c r="J54" s="12">
        <f>(SUM($C49:$C53))/5</f>
        <v>81</v>
      </c>
      <c r="K54" s="12">
        <f>($C54)</f>
        <v>105</v>
      </c>
      <c r="L54" s="12"/>
      <c r="M54" s="12"/>
    </row>
    <row r="55" spans="2:13" ht="17.25" thickBot="1" x14ac:dyDescent="0.3">
      <c r="B55" s="135" t="s">
        <v>275</v>
      </c>
      <c r="C55" s="136">
        <v>100</v>
      </c>
      <c r="D55" s="12">
        <f t="shared" si="12"/>
        <v>92.5</v>
      </c>
      <c r="E55" s="12">
        <f t="shared" si="14"/>
        <v>900</v>
      </c>
      <c r="F55" s="12">
        <f t="shared" si="13"/>
        <v>85</v>
      </c>
      <c r="G55" s="12">
        <f t="shared" si="15"/>
        <v>711.11111111111131</v>
      </c>
      <c r="H55" s="12">
        <f t="shared" si="16"/>
        <v>85</v>
      </c>
      <c r="I55" s="12">
        <f t="shared" si="17"/>
        <v>564.0625</v>
      </c>
      <c r="J55" s="12">
        <f t="shared" ref="J55:J61" si="18">(SUM($C50:$C54))/5</f>
        <v>86</v>
      </c>
      <c r="K55" s="12">
        <f t="shared" ref="K55:K61" si="19">($C54-J54)^2</f>
        <v>576</v>
      </c>
      <c r="L55" s="12">
        <f>(SUM($C49:$C54))/6</f>
        <v>85</v>
      </c>
      <c r="M55" s="12">
        <f>($C55)</f>
        <v>100</v>
      </c>
    </row>
    <row r="56" spans="2:13" ht="17.25" thickBot="1" x14ac:dyDescent="0.3">
      <c r="B56" s="135" t="s">
        <v>276</v>
      </c>
      <c r="C56" s="136">
        <v>105</v>
      </c>
      <c r="D56" s="12">
        <f t="shared" si="12"/>
        <v>102.5</v>
      </c>
      <c r="E56" s="12">
        <f t="shared" si="14"/>
        <v>56.25</v>
      </c>
      <c r="F56" s="12">
        <f t="shared" si="13"/>
        <v>95</v>
      </c>
      <c r="G56" s="12">
        <f t="shared" si="15"/>
        <v>225</v>
      </c>
      <c r="H56" s="12">
        <f t="shared" si="16"/>
        <v>88.75</v>
      </c>
      <c r="I56" s="12">
        <f t="shared" si="17"/>
        <v>225</v>
      </c>
      <c r="J56" s="12">
        <f t="shared" si="18"/>
        <v>88</v>
      </c>
      <c r="K56" s="12">
        <f t="shared" si="19"/>
        <v>196</v>
      </c>
      <c r="L56" s="12">
        <f t="shared" ref="L56:L61" si="20">(SUM($C50:$C55))/6</f>
        <v>88.333333333333329</v>
      </c>
      <c r="M56" s="12">
        <f t="shared" ref="M56:M61" si="21">($C55-L55)^2</f>
        <v>225</v>
      </c>
    </row>
    <row r="57" spans="2:13" ht="17.25" thickBot="1" x14ac:dyDescent="0.3">
      <c r="B57" s="135" t="s">
        <v>277</v>
      </c>
      <c r="C57" s="136">
        <v>100</v>
      </c>
      <c r="D57" s="12">
        <f t="shared" si="12"/>
        <v>102.5</v>
      </c>
      <c r="E57" s="12">
        <f t="shared" si="14"/>
        <v>6.25</v>
      </c>
      <c r="F57" s="12">
        <f t="shared" si="13"/>
        <v>103.33333333333333</v>
      </c>
      <c r="G57" s="12">
        <f t="shared" si="15"/>
        <v>100</v>
      </c>
      <c r="H57" s="12">
        <f t="shared" si="16"/>
        <v>97.5</v>
      </c>
      <c r="I57" s="12">
        <f t="shared" si="17"/>
        <v>264.0625</v>
      </c>
      <c r="J57" s="12">
        <f t="shared" si="18"/>
        <v>92</v>
      </c>
      <c r="K57" s="12">
        <f t="shared" si="19"/>
        <v>289</v>
      </c>
      <c r="L57" s="12">
        <f t="shared" si="20"/>
        <v>90.833333333333329</v>
      </c>
      <c r="M57" s="12">
        <f t="shared" si="21"/>
        <v>277.77777777777794</v>
      </c>
    </row>
    <row r="58" spans="2:13" ht="17.25" thickBot="1" x14ac:dyDescent="0.3">
      <c r="B58" s="135" t="s">
        <v>278</v>
      </c>
      <c r="C58" s="136">
        <v>105</v>
      </c>
      <c r="D58" s="12">
        <f t="shared" si="12"/>
        <v>102.5</v>
      </c>
      <c r="E58" s="12">
        <f t="shared" si="14"/>
        <v>6.25</v>
      </c>
      <c r="F58" s="12">
        <f t="shared" si="13"/>
        <v>101.66666666666667</v>
      </c>
      <c r="G58" s="12">
        <f t="shared" si="15"/>
        <v>11.111111111111079</v>
      </c>
      <c r="H58" s="12">
        <f t="shared" si="16"/>
        <v>102.5</v>
      </c>
      <c r="I58" s="12">
        <f t="shared" si="17"/>
        <v>6.25</v>
      </c>
      <c r="J58" s="12">
        <f t="shared" si="18"/>
        <v>98</v>
      </c>
      <c r="K58" s="12">
        <f t="shared" si="19"/>
        <v>64</v>
      </c>
      <c r="L58" s="12">
        <f t="shared" si="20"/>
        <v>93.333333333333329</v>
      </c>
      <c r="M58" s="12">
        <f t="shared" si="21"/>
        <v>84.027777777777871</v>
      </c>
    </row>
    <row r="59" spans="2:13" ht="17.25" thickBot="1" x14ac:dyDescent="0.3">
      <c r="B59" s="135" t="s">
        <v>376</v>
      </c>
      <c r="C59" s="136">
        <v>100</v>
      </c>
      <c r="D59" s="12">
        <f t="shared" si="12"/>
        <v>102.5</v>
      </c>
      <c r="E59" s="12">
        <f t="shared" si="14"/>
        <v>6.25</v>
      </c>
      <c r="F59" s="12">
        <f t="shared" si="13"/>
        <v>103.33333333333333</v>
      </c>
      <c r="G59" s="12">
        <f t="shared" si="15"/>
        <v>11.111111111111079</v>
      </c>
      <c r="H59" s="12">
        <f t="shared" si="16"/>
        <v>102.5</v>
      </c>
      <c r="I59" s="12">
        <f t="shared" si="17"/>
        <v>6.25</v>
      </c>
      <c r="J59" s="12">
        <f t="shared" si="18"/>
        <v>103</v>
      </c>
      <c r="K59" s="12">
        <f t="shared" si="19"/>
        <v>49</v>
      </c>
      <c r="L59" s="12">
        <f t="shared" si="20"/>
        <v>99.166666666666671</v>
      </c>
      <c r="M59" s="12">
        <f t="shared" si="21"/>
        <v>136.11111111111123</v>
      </c>
    </row>
    <row r="60" spans="2:13" ht="16.5" x14ac:dyDescent="0.25">
      <c r="B60" s="137" t="s">
        <v>377</v>
      </c>
      <c r="C60" s="138">
        <v>150</v>
      </c>
      <c r="D60" s="12">
        <f t="shared" si="12"/>
        <v>102.5</v>
      </c>
      <c r="E60" s="12">
        <f t="shared" si="14"/>
        <v>6.25</v>
      </c>
      <c r="F60" s="12">
        <f t="shared" si="13"/>
        <v>101.66666666666667</v>
      </c>
      <c r="G60" s="12">
        <f t="shared" si="15"/>
        <v>11.111111111111079</v>
      </c>
      <c r="H60" s="12">
        <f t="shared" si="16"/>
        <v>102.5</v>
      </c>
      <c r="I60" s="12">
        <f t="shared" si="17"/>
        <v>6.25</v>
      </c>
      <c r="J60" s="12">
        <f t="shared" si="18"/>
        <v>102</v>
      </c>
      <c r="K60" s="12">
        <f t="shared" si="19"/>
        <v>9</v>
      </c>
      <c r="L60" s="12">
        <f t="shared" si="20"/>
        <v>102.5</v>
      </c>
      <c r="M60" s="12">
        <f t="shared" si="21"/>
        <v>0.69444444444443654</v>
      </c>
    </row>
    <row r="61" spans="2:13" ht="16.5" x14ac:dyDescent="0.25">
      <c r="B61" s="131" t="s">
        <v>269</v>
      </c>
      <c r="C61" s="8"/>
      <c r="D61" s="8">
        <f t="shared" si="12"/>
        <v>125</v>
      </c>
      <c r="E61" s="12">
        <f t="shared" si="14"/>
        <v>2256.25</v>
      </c>
      <c r="F61" s="8">
        <f t="shared" si="13"/>
        <v>118.33333333333333</v>
      </c>
      <c r="G61" s="12">
        <f t="shared" si="15"/>
        <v>2336.1111111111109</v>
      </c>
      <c r="H61" s="8">
        <f t="shared" si="16"/>
        <v>113.75</v>
      </c>
      <c r="I61" s="12">
        <f t="shared" si="17"/>
        <v>2256.25</v>
      </c>
      <c r="J61" s="8">
        <f t="shared" si="18"/>
        <v>112</v>
      </c>
      <c r="K61" s="12">
        <f t="shared" si="19"/>
        <v>2304</v>
      </c>
      <c r="L61" s="8">
        <f t="shared" si="20"/>
        <v>110</v>
      </c>
      <c r="M61" s="12">
        <f t="shared" si="21"/>
        <v>2256.25</v>
      </c>
    </row>
    <row r="62" spans="2:13" x14ac:dyDescent="0.25">
      <c r="D62" s="126" t="s">
        <v>380</v>
      </c>
      <c r="E62" s="8">
        <f>AVERAGE(E51:E61)</f>
        <v>330.45454545454544</v>
      </c>
      <c r="F62" s="126" t="s">
        <v>380</v>
      </c>
      <c r="G62" s="8">
        <f>AVERAGE(G51:G61)</f>
        <v>370.33333333333331</v>
      </c>
      <c r="H62" s="126" t="s">
        <v>380</v>
      </c>
      <c r="I62" s="8">
        <f>AVERAGE(I51:I61)</f>
        <v>378.85416666666669</v>
      </c>
      <c r="J62" s="126" t="s">
        <v>380</v>
      </c>
      <c r="K62" s="8">
        <f>AVERAGE(K51:K61)</f>
        <v>449</v>
      </c>
      <c r="L62" s="126" t="s">
        <v>380</v>
      </c>
      <c r="M62" s="8">
        <f>AVERAGE(M51:M61)</f>
        <v>439.98015873015873</v>
      </c>
    </row>
    <row r="64" spans="2:13" ht="33" x14ac:dyDescent="0.25">
      <c r="B64" s="124" t="s">
        <v>378</v>
      </c>
    </row>
    <row r="65" spans="2:12" x14ac:dyDescent="0.25">
      <c r="B65" s="168" t="s">
        <v>384</v>
      </c>
      <c r="C65" s="168"/>
      <c r="D65" s="168"/>
      <c r="E65" s="168"/>
      <c r="F65" s="168"/>
    </row>
    <row r="66" spans="2:12" x14ac:dyDescent="0.25">
      <c r="B66" s="168"/>
      <c r="C66" s="168"/>
      <c r="D66" s="168"/>
      <c r="E66" s="168"/>
      <c r="F66" s="168"/>
    </row>
    <row r="67" spans="2:12" x14ac:dyDescent="0.25">
      <c r="B67" s="168"/>
      <c r="C67" s="168"/>
      <c r="D67" s="168"/>
      <c r="E67" s="168"/>
      <c r="F67" s="168"/>
    </row>
    <row r="68" spans="2:12" x14ac:dyDescent="0.25">
      <c r="B68" s="27"/>
      <c r="L68" s="125"/>
    </row>
    <row r="69" spans="2:12" x14ac:dyDescent="0.25">
      <c r="L69" s="125"/>
    </row>
    <row r="70" spans="2:12" x14ac:dyDescent="0.25">
      <c r="L70" s="125"/>
    </row>
    <row r="71" spans="2:12" x14ac:dyDescent="0.25">
      <c r="L71" s="125"/>
    </row>
    <row r="72" spans="2:12" x14ac:dyDescent="0.25">
      <c r="L72" s="125"/>
    </row>
    <row r="73" spans="2:12" x14ac:dyDescent="0.25">
      <c r="L73" s="125"/>
    </row>
    <row r="74" spans="2:12" x14ac:dyDescent="0.25">
      <c r="L74" s="125"/>
    </row>
    <row r="75" spans="2:12" x14ac:dyDescent="0.25">
      <c r="L75" s="125"/>
    </row>
    <row r="76" spans="2:12" x14ac:dyDescent="0.25">
      <c r="L76" s="125"/>
    </row>
    <row r="77" spans="2:12" x14ac:dyDescent="0.25">
      <c r="L77" s="125"/>
    </row>
    <row r="78" spans="2:12" x14ac:dyDescent="0.25">
      <c r="L78" s="125"/>
    </row>
    <row r="79" spans="2:12" x14ac:dyDescent="0.25">
      <c r="L79" s="125"/>
    </row>
    <row r="80" spans="2:12" x14ac:dyDescent="0.25">
      <c r="L80" s="125"/>
    </row>
  </sheetData>
  <mergeCells count="5">
    <mergeCell ref="E6:F6"/>
    <mergeCell ref="G6:H6"/>
    <mergeCell ref="I6:J6"/>
    <mergeCell ref="B65:F67"/>
    <mergeCell ref="D1:H2"/>
  </mergeCells>
  <pageMargins left="0.7" right="0.7" top="0.75" bottom="0.75" header="0.3" footer="0.3"/>
  <pageSetup orientation="portrait" r:id="rId1"/>
  <ignoredErrors>
    <ignoredError sqref="E10:E20 E26:E36" formulaRange="1"/>
    <ignoredError sqref="F10:F11 F13:F20 F12" formula="1"/>
    <ignoredError sqref="F26:F36" formula="1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Portada</vt:lpstr>
      <vt:lpstr>Mayo 13</vt:lpstr>
      <vt:lpstr>Mayo 16</vt:lpstr>
      <vt:lpstr>Tarea MTC y MD</vt:lpstr>
      <vt:lpstr>Mayo 20</vt:lpstr>
      <vt:lpstr>Mayo 23</vt:lpstr>
      <vt:lpstr>Distribución de Probabilidades</vt:lpstr>
      <vt:lpstr>Mayo 27</vt:lpstr>
      <vt:lpstr>Prueba de Hipótesis</vt:lpstr>
      <vt:lpstr>Mayo30</vt:lpstr>
      <vt:lpstr>Junio 3</vt:lpstr>
      <vt:lpstr>Quizz</vt:lpstr>
      <vt:lpstr>Correlación y Regresión</vt:lpstr>
      <vt:lpstr>Junio 6</vt:lpstr>
      <vt:lpstr>Serie de Tiempo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SUPERVISOR</dc:creator>
  <cp:lastModifiedBy>SUPERVISOR</cp:lastModifiedBy>
  <cp:lastPrinted>2024-06-11T22:23:11Z</cp:lastPrinted>
  <dcterms:created xsi:type="dcterms:W3CDTF">2024-05-13T22:01:25Z</dcterms:created>
  <dcterms:modified xsi:type="dcterms:W3CDTF">2024-06-12T03:48:53Z</dcterms:modified>
</cp:coreProperties>
</file>